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14880" windowHeight="6000"/>
  </bookViews>
  <sheets>
    <sheet name="analiza_wtz 09.10" sheetId="8" r:id="rId1"/>
  </sheets>
  <definedNames>
    <definedName name="_xlnm._FilterDatabase" localSheetId="0" hidden="1">'analiza_wtz 09.10'!$A$2:$V$157</definedName>
    <definedName name="_xlnm.Print_Titles" localSheetId="0">'analiza_wtz 09.10'!$3:$4</definedName>
  </definedNames>
  <calcPr calcId="145621"/>
</workbook>
</file>

<file path=xl/calcChain.xml><?xml version="1.0" encoding="utf-8"?>
<calcChain xmlns="http://schemas.openxmlformats.org/spreadsheetml/2006/main">
  <c r="Q14" i="8" l="1"/>
  <c r="Q13" i="8"/>
  <c r="Q12" i="8"/>
  <c r="Q41" i="8" l="1"/>
  <c r="Q40" i="8"/>
  <c r="Q39" i="8"/>
  <c r="Q157" i="8"/>
  <c r="Q156" i="8"/>
  <c r="Q155" i="8"/>
  <c r="Q74" i="8"/>
  <c r="Q73" i="8"/>
  <c r="Q72" i="8"/>
  <c r="Q63" i="8"/>
  <c r="Q62" i="8"/>
  <c r="Q61" i="8"/>
  <c r="Q36" i="8"/>
  <c r="Q35" i="8"/>
  <c r="Q34" i="8"/>
  <c r="Q33" i="8"/>
  <c r="Q32" i="8"/>
  <c r="Q31" i="8"/>
  <c r="Q30" i="8"/>
  <c r="Q29" i="8"/>
  <c r="Q28" i="8"/>
  <c r="Q22" i="8"/>
  <c r="Q21" i="8"/>
  <c r="Q20" i="8"/>
  <c r="Q19" i="8"/>
  <c r="Q18" i="8"/>
  <c r="Q17" i="8"/>
  <c r="K135" i="8"/>
  <c r="O177" i="8"/>
  <c r="U179" i="8" l="1"/>
  <c r="T179" i="8"/>
  <c r="Q179" i="8"/>
  <c r="O179" i="8"/>
  <c r="N179" i="8"/>
  <c r="M179" i="8"/>
  <c r="L179" i="8"/>
  <c r="K179" i="8"/>
  <c r="J179" i="8"/>
  <c r="G179" i="8"/>
  <c r="F179" i="8"/>
  <c r="Q178" i="8"/>
  <c r="O178" i="8"/>
  <c r="N178" i="8"/>
  <c r="M178" i="8"/>
  <c r="L178" i="8"/>
  <c r="K178" i="8"/>
  <c r="J178" i="8"/>
  <c r="G178" i="8"/>
  <c r="F178" i="8"/>
  <c r="U177" i="8"/>
  <c r="T177" i="8"/>
  <c r="Q177" i="8"/>
  <c r="N177" i="8"/>
  <c r="M177" i="8"/>
  <c r="L177" i="8"/>
  <c r="K177" i="8"/>
  <c r="J177" i="8"/>
  <c r="G177" i="8"/>
  <c r="F177" i="8"/>
  <c r="X176" i="8"/>
  <c r="U176" i="8"/>
  <c r="V176" i="8" s="1"/>
  <c r="T176" i="8"/>
  <c r="O176" i="8"/>
  <c r="N176" i="8"/>
  <c r="M176" i="8"/>
  <c r="L176" i="8"/>
  <c r="K176" i="8"/>
  <c r="J176" i="8"/>
  <c r="F176" i="8"/>
  <c r="X175" i="8"/>
  <c r="V175" i="8"/>
  <c r="U175" i="8"/>
  <c r="T175" i="8"/>
  <c r="O175" i="8"/>
  <c r="N175" i="8"/>
  <c r="M175" i="8"/>
  <c r="L175" i="8"/>
  <c r="K175" i="8"/>
  <c r="J175" i="8"/>
  <c r="F175" i="8"/>
  <c r="O174" i="8"/>
  <c r="N174" i="8"/>
  <c r="M174" i="8"/>
  <c r="L174" i="8"/>
  <c r="K174" i="8"/>
  <c r="J174" i="8"/>
  <c r="F174" i="8"/>
  <c r="O173" i="8"/>
  <c r="N173" i="8"/>
  <c r="M173" i="8"/>
  <c r="L173" i="8"/>
  <c r="K173" i="8"/>
  <c r="J173" i="8"/>
  <c r="I173" i="8"/>
  <c r="F173" i="8"/>
  <c r="U172" i="8"/>
  <c r="T172" i="8"/>
  <c r="O172" i="8"/>
  <c r="N172" i="8"/>
  <c r="M172" i="8"/>
  <c r="L172" i="8"/>
  <c r="K172" i="8"/>
  <c r="J172" i="8"/>
  <c r="I172" i="8"/>
  <c r="F172" i="8"/>
  <c r="O171" i="8"/>
  <c r="N171" i="8"/>
  <c r="N180" i="8" s="1"/>
  <c r="M171" i="8"/>
  <c r="M180" i="8" s="1"/>
  <c r="L171" i="8"/>
  <c r="K171" i="8"/>
  <c r="J171" i="8"/>
  <c r="I171" i="8"/>
  <c r="F171" i="8"/>
  <c r="U168" i="8"/>
  <c r="T168" i="8"/>
  <c r="O168" i="8"/>
  <c r="N168" i="8"/>
  <c r="M168" i="8"/>
  <c r="L168" i="8"/>
  <c r="K168" i="8"/>
  <c r="J168" i="8"/>
  <c r="I168" i="8"/>
  <c r="G168" i="8"/>
  <c r="F168" i="8"/>
  <c r="O167" i="8"/>
  <c r="N167" i="8"/>
  <c r="M167" i="8"/>
  <c r="L167" i="8"/>
  <c r="K167" i="8"/>
  <c r="J167" i="8"/>
  <c r="I167" i="8"/>
  <c r="G167" i="8"/>
  <c r="F167" i="8"/>
  <c r="U166" i="8"/>
  <c r="T166" i="8"/>
  <c r="O166" i="8"/>
  <c r="N166" i="8"/>
  <c r="M166" i="8"/>
  <c r="L166" i="8"/>
  <c r="K166" i="8"/>
  <c r="J166" i="8"/>
  <c r="I166" i="8"/>
  <c r="G166" i="8"/>
  <c r="F166" i="8"/>
  <c r="U165" i="8"/>
  <c r="T165" i="8"/>
  <c r="N165" i="8"/>
  <c r="M165" i="8"/>
  <c r="L165" i="8"/>
  <c r="K165" i="8"/>
  <c r="J165" i="8"/>
  <c r="I165" i="8"/>
  <c r="G165" i="8"/>
  <c r="F165" i="8"/>
  <c r="P165" i="8" s="1"/>
  <c r="U164" i="8"/>
  <c r="T164" i="8"/>
  <c r="N164" i="8"/>
  <c r="M164" i="8"/>
  <c r="L164" i="8"/>
  <c r="K164" i="8"/>
  <c r="J164" i="8"/>
  <c r="I164" i="8"/>
  <c r="G164" i="8"/>
  <c r="F164" i="8"/>
  <c r="N163" i="8"/>
  <c r="M163" i="8"/>
  <c r="L163" i="8"/>
  <c r="K163" i="8"/>
  <c r="J163" i="8"/>
  <c r="I163" i="8"/>
  <c r="G163" i="8"/>
  <c r="F163" i="8"/>
  <c r="O162" i="8"/>
  <c r="N162" i="8"/>
  <c r="M162" i="8"/>
  <c r="L162" i="8"/>
  <c r="K162" i="8"/>
  <c r="J162" i="8"/>
  <c r="G162" i="8"/>
  <c r="F162" i="8"/>
  <c r="U161" i="8"/>
  <c r="T161" i="8"/>
  <c r="O161" i="8"/>
  <c r="N161" i="8"/>
  <c r="M161" i="8"/>
  <c r="L161" i="8"/>
  <c r="K161" i="8"/>
  <c r="J161" i="8"/>
  <c r="G161" i="8"/>
  <c r="F161" i="8"/>
  <c r="P161" i="8" s="1"/>
  <c r="O160" i="8"/>
  <c r="N160" i="8"/>
  <c r="M160" i="8"/>
  <c r="L160" i="8"/>
  <c r="K160" i="8"/>
  <c r="J160" i="8"/>
  <c r="J169" i="8" s="1"/>
  <c r="G160" i="8"/>
  <c r="F160" i="8"/>
  <c r="U157" i="8"/>
  <c r="T157" i="8"/>
  <c r="O157" i="8"/>
  <c r="N157" i="8"/>
  <c r="M157" i="8"/>
  <c r="L157" i="8"/>
  <c r="K157" i="8"/>
  <c r="J157" i="8"/>
  <c r="I157" i="8"/>
  <c r="G157" i="8"/>
  <c r="P157" i="8" s="1"/>
  <c r="F157" i="8"/>
  <c r="O156" i="8"/>
  <c r="N156" i="8"/>
  <c r="M156" i="8"/>
  <c r="L156" i="8"/>
  <c r="K156" i="8"/>
  <c r="J156" i="8"/>
  <c r="I156" i="8"/>
  <c r="G156" i="8"/>
  <c r="F156" i="8"/>
  <c r="X155" i="8"/>
  <c r="V155" i="8"/>
  <c r="U155" i="8"/>
  <c r="T155" i="8"/>
  <c r="O155" i="8"/>
  <c r="N155" i="8"/>
  <c r="M155" i="8"/>
  <c r="L155" i="8"/>
  <c r="K155" i="8"/>
  <c r="J155" i="8"/>
  <c r="I155" i="8"/>
  <c r="G155" i="8"/>
  <c r="F155" i="8"/>
  <c r="V154" i="8"/>
  <c r="U154" i="8"/>
  <c r="X154" i="8" s="1"/>
  <c r="T154" i="8"/>
  <c r="O154" i="8"/>
  <c r="N154" i="8"/>
  <c r="M154" i="8"/>
  <c r="L154" i="8"/>
  <c r="K154" i="8"/>
  <c r="J154" i="8"/>
  <c r="G154" i="8"/>
  <c r="F154" i="8"/>
  <c r="X153" i="8"/>
  <c r="V153" i="8"/>
  <c r="U153" i="8"/>
  <c r="T153" i="8"/>
  <c r="O153" i="8"/>
  <c r="N153" i="8"/>
  <c r="M153" i="8"/>
  <c r="L153" i="8"/>
  <c r="K153" i="8"/>
  <c r="J153" i="8"/>
  <c r="G153" i="8"/>
  <c r="F153" i="8"/>
  <c r="O152" i="8"/>
  <c r="N152" i="8"/>
  <c r="M152" i="8"/>
  <c r="L152" i="8"/>
  <c r="K152" i="8"/>
  <c r="J152" i="8"/>
  <c r="G152" i="8"/>
  <c r="F152" i="8"/>
  <c r="O151" i="8"/>
  <c r="N151" i="8"/>
  <c r="M151" i="8"/>
  <c r="L151" i="8"/>
  <c r="K151" i="8"/>
  <c r="J151" i="8"/>
  <c r="F151" i="8"/>
  <c r="U150" i="8"/>
  <c r="T150" i="8"/>
  <c r="O150" i="8"/>
  <c r="N150" i="8"/>
  <c r="M150" i="8"/>
  <c r="L150" i="8"/>
  <c r="K150" i="8"/>
  <c r="J150" i="8"/>
  <c r="F150" i="8"/>
  <c r="O149" i="8"/>
  <c r="N149" i="8"/>
  <c r="N158" i="8" s="1"/>
  <c r="M149" i="8"/>
  <c r="L149" i="8"/>
  <c r="K149" i="8"/>
  <c r="J149" i="8"/>
  <c r="J158" i="8" s="1"/>
  <c r="F149" i="8"/>
  <c r="U148" i="8"/>
  <c r="T148" i="8"/>
  <c r="M147" i="8"/>
  <c r="U146" i="8"/>
  <c r="T146" i="8"/>
  <c r="Q146" i="8"/>
  <c r="O146" i="8"/>
  <c r="N146" i="8"/>
  <c r="M146" i="8"/>
  <c r="L146" i="8"/>
  <c r="K146" i="8"/>
  <c r="J146" i="8"/>
  <c r="G146" i="8"/>
  <c r="F146" i="8"/>
  <c r="Q145" i="8"/>
  <c r="O145" i="8"/>
  <c r="N145" i="8"/>
  <c r="M145" i="8"/>
  <c r="L145" i="8"/>
  <c r="K145" i="8"/>
  <c r="J145" i="8"/>
  <c r="G145" i="8"/>
  <c r="F145" i="8"/>
  <c r="X144" i="8"/>
  <c r="V144" i="8"/>
  <c r="U144" i="8"/>
  <c r="T144" i="8"/>
  <c r="Q144" i="8"/>
  <c r="O144" i="8"/>
  <c r="N144" i="8"/>
  <c r="M144" i="8"/>
  <c r="L144" i="8"/>
  <c r="K144" i="8"/>
  <c r="J144" i="8"/>
  <c r="G144" i="8"/>
  <c r="F144" i="8"/>
  <c r="U143" i="8"/>
  <c r="T143" i="8"/>
  <c r="O143" i="8"/>
  <c r="N143" i="8"/>
  <c r="M143" i="8"/>
  <c r="L143" i="8"/>
  <c r="K143" i="8"/>
  <c r="J143" i="8"/>
  <c r="G143" i="8"/>
  <c r="F143" i="8"/>
  <c r="V142" i="8"/>
  <c r="U142" i="8"/>
  <c r="X142" i="8" s="1"/>
  <c r="T142" i="8"/>
  <c r="O142" i="8"/>
  <c r="N142" i="8"/>
  <c r="M142" i="8"/>
  <c r="L142" i="8"/>
  <c r="K142" i="8"/>
  <c r="J142" i="8"/>
  <c r="I142" i="8"/>
  <c r="G142" i="8"/>
  <c r="F142" i="8"/>
  <c r="O141" i="8"/>
  <c r="N141" i="8"/>
  <c r="M141" i="8"/>
  <c r="L141" i="8"/>
  <c r="K141" i="8"/>
  <c r="J141" i="8"/>
  <c r="I141" i="8"/>
  <c r="G141" i="8"/>
  <c r="F141" i="8"/>
  <c r="O140" i="8"/>
  <c r="N140" i="8"/>
  <c r="M140" i="8"/>
  <c r="L140" i="8"/>
  <c r="K140" i="8"/>
  <c r="J140" i="8"/>
  <c r="I140" i="8"/>
  <c r="G140" i="8"/>
  <c r="F140" i="8"/>
  <c r="U139" i="8"/>
  <c r="T139" i="8"/>
  <c r="O139" i="8"/>
  <c r="N139" i="8"/>
  <c r="M139" i="8"/>
  <c r="L139" i="8"/>
  <c r="K139" i="8"/>
  <c r="J139" i="8"/>
  <c r="I139" i="8"/>
  <c r="G139" i="8"/>
  <c r="F139" i="8"/>
  <c r="O138" i="8"/>
  <c r="N138" i="8"/>
  <c r="M138" i="8"/>
  <c r="L138" i="8"/>
  <c r="L147" i="8" s="1"/>
  <c r="K138" i="8"/>
  <c r="J138" i="8"/>
  <c r="I138" i="8"/>
  <c r="G138" i="8"/>
  <c r="P138" i="8" s="1"/>
  <c r="F138" i="8"/>
  <c r="U137" i="8"/>
  <c r="T137" i="8"/>
  <c r="X135" i="8"/>
  <c r="U135" i="8"/>
  <c r="V135" i="8" s="1"/>
  <c r="T135" i="8"/>
  <c r="M135" i="8"/>
  <c r="L135" i="8"/>
  <c r="J135" i="8"/>
  <c r="I135" i="8"/>
  <c r="G135" i="8"/>
  <c r="F135" i="8"/>
  <c r="M134" i="8"/>
  <c r="L134" i="8"/>
  <c r="K134" i="8"/>
  <c r="J134" i="8"/>
  <c r="I134" i="8"/>
  <c r="G134" i="8"/>
  <c r="F134" i="8"/>
  <c r="P134" i="8" s="1"/>
  <c r="U133" i="8"/>
  <c r="T133" i="8"/>
  <c r="M133" i="8"/>
  <c r="L133" i="8"/>
  <c r="K133" i="8"/>
  <c r="J133" i="8"/>
  <c r="I133" i="8"/>
  <c r="G133" i="8"/>
  <c r="F133" i="8"/>
  <c r="X132" i="8"/>
  <c r="U132" i="8"/>
  <c r="V132" i="8" s="1"/>
  <c r="T132" i="8"/>
  <c r="O132" i="8"/>
  <c r="N132" i="8"/>
  <c r="M132" i="8"/>
  <c r="L132" i="8"/>
  <c r="K132" i="8"/>
  <c r="J132" i="8"/>
  <c r="I132" i="8"/>
  <c r="G132" i="8"/>
  <c r="P132" i="8" s="1"/>
  <c r="F132" i="8"/>
  <c r="U131" i="8"/>
  <c r="T131" i="8"/>
  <c r="O131" i="8"/>
  <c r="N131" i="8"/>
  <c r="M131" i="8"/>
  <c r="L131" i="8"/>
  <c r="K131" i="8"/>
  <c r="J131" i="8"/>
  <c r="I131" i="8"/>
  <c r="G131" i="8"/>
  <c r="F131" i="8"/>
  <c r="P131" i="8" s="1"/>
  <c r="O130" i="8"/>
  <c r="N130" i="8"/>
  <c r="M130" i="8"/>
  <c r="L130" i="8"/>
  <c r="K130" i="8"/>
  <c r="J130" i="8"/>
  <c r="I130" i="8"/>
  <c r="G130" i="8"/>
  <c r="P130" i="8" s="1"/>
  <c r="F130" i="8"/>
  <c r="O129" i="8"/>
  <c r="N129" i="8"/>
  <c r="M129" i="8"/>
  <c r="M136" i="8" s="1"/>
  <c r="L129" i="8"/>
  <c r="K129" i="8"/>
  <c r="J129" i="8"/>
  <c r="I129" i="8"/>
  <c r="F129" i="8"/>
  <c r="U128" i="8"/>
  <c r="T128" i="8"/>
  <c r="O128" i="8"/>
  <c r="N128" i="8"/>
  <c r="M128" i="8"/>
  <c r="L128" i="8"/>
  <c r="K128" i="8"/>
  <c r="J128" i="8"/>
  <c r="I128" i="8"/>
  <c r="F128" i="8"/>
  <c r="O127" i="8"/>
  <c r="N127" i="8"/>
  <c r="N136" i="8" s="1"/>
  <c r="M127" i="8"/>
  <c r="L127" i="8"/>
  <c r="K127" i="8"/>
  <c r="J127" i="8"/>
  <c r="I127" i="8"/>
  <c r="F127" i="8"/>
  <c r="U126" i="8"/>
  <c r="T126" i="8"/>
  <c r="U124" i="8"/>
  <c r="T124" i="8"/>
  <c r="M124" i="8"/>
  <c r="L124" i="8"/>
  <c r="K124" i="8"/>
  <c r="J124" i="8"/>
  <c r="I124" i="8"/>
  <c r="G124" i="8"/>
  <c r="F124" i="8"/>
  <c r="M123" i="8"/>
  <c r="L123" i="8"/>
  <c r="K123" i="8"/>
  <c r="J123" i="8"/>
  <c r="I123" i="8"/>
  <c r="G123" i="8"/>
  <c r="F123" i="8"/>
  <c r="U122" i="8"/>
  <c r="X122" i="8" s="1"/>
  <c r="T122" i="8"/>
  <c r="M122" i="8"/>
  <c r="L122" i="8"/>
  <c r="K122" i="8"/>
  <c r="J122" i="8"/>
  <c r="I122" i="8"/>
  <c r="G122" i="8"/>
  <c r="F122" i="8"/>
  <c r="U121" i="8"/>
  <c r="T121" i="8"/>
  <c r="Q121" i="8"/>
  <c r="M121" i="8"/>
  <c r="L121" i="8"/>
  <c r="K121" i="8"/>
  <c r="J121" i="8"/>
  <c r="G121" i="8"/>
  <c r="F121" i="8"/>
  <c r="U120" i="8"/>
  <c r="T120" i="8"/>
  <c r="Q120" i="8"/>
  <c r="M120" i="8"/>
  <c r="L120" i="8"/>
  <c r="K120" i="8"/>
  <c r="J120" i="8"/>
  <c r="G120" i="8"/>
  <c r="P120" i="8" s="1"/>
  <c r="F120" i="8"/>
  <c r="Q119" i="8"/>
  <c r="M119" i="8"/>
  <c r="L119" i="8"/>
  <c r="K119" i="8"/>
  <c r="J119" i="8"/>
  <c r="G119" i="8"/>
  <c r="F119" i="8"/>
  <c r="Q118" i="8"/>
  <c r="M118" i="8"/>
  <c r="L118" i="8"/>
  <c r="K118" i="8"/>
  <c r="J118" i="8"/>
  <c r="I118" i="8"/>
  <c r="G118" i="8"/>
  <c r="F118" i="8"/>
  <c r="X117" i="8"/>
  <c r="V117" i="8"/>
  <c r="U117" i="8"/>
  <c r="T117" i="8"/>
  <c r="Q117" i="8"/>
  <c r="M117" i="8"/>
  <c r="L117" i="8"/>
  <c r="K117" i="8"/>
  <c r="J117" i="8"/>
  <c r="I117" i="8"/>
  <c r="G117" i="8"/>
  <c r="F117" i="8"/>
  <c r="Q116" i="8"/>
  <c r="M116" i="8"/>
  <c r="L116" i="8"/>
  <c r="K116" i="8"/>
  <c r="K125" i="8" s="1"/>
  <c r="J116" i="8"/>
  <c r="I116" i="8"/>
  <c r="G116" i="8"/>
  <c r="F116" i="8"/>
  <c r="U115" i="8"/>
  <c r="T115" i="8"/>
  <c r="U113" i="8"/>
  <c r="X113" i="8" s="1"/>
  <c r="T113" i="8"/>
  <c r="O113" i="8"/>
  <c r="N113" i="8"/>
  <c r="M113" i="8"/>
  <c r="L113" i="8"/>
  <c r="K113" i="8"/>
  <c r="J113" i="8"/>
  <c r="I113" i="8"/>
  <c r="G113" i="8"/>
  <c r="F113" i="8"/>
  <c r="O112" i="8"/>
  <c r="N112" i="8"/>
  <c r="M112" i="8"/>
  <c r="L112" i="8"/>
  <c r="K112" i="8"/>
  <c r="J112" i="8"/>
  <c r="I112" i="8"/>
  <c r="G112" i="8"/>
  <c r="F112" i="8"/>
  <c r="X111" i="8"/>
  <c r="V111" i="8"/>
  <c r="U111" i="8"/>
  <c r="T111" i="8"/>
  <c r="N111" i="8"/>
  <c r="M111" i="8"/>
  <c r="L111" i="8"/>
  <c r="K111" i="8"/>
  <c r="J111" i="8"/>
  <c r="I111" i="8"/>
  <c r="G111" i="8"/>
  <c r="F111" i="8"/>
  <c r="U110" i="8"/>
  <c r="T110" i="8"/>
  <c r="O110" i="8"/>
  <c r="N110" i="8"/>
  <c r="M110" i="8"/>
  <c r="L110" i="8"/>
  <c r="K110" i="8"/>
  <c r="J110" i="8"/>
  <c r="G110" i="8"/>
  <c r="F110" i="8"/>
  <c r="U109" i="8"/>
  <c r="T109" i="8"/>
  <c r="O109" i="8"/>
  <c r="N109" i="8"/>
  <c r="M109" i="8"/>
  <c r="L109" i="8"/>
  <c r="K109" i="8"/>
  <c r="J109" i="8"/>
  <c r="G109" i="8"/>
  <c r="F109" i="8"/>
  <c r="O108" i="8"/>
  <c r="N108" i="8"/>
  <c r="M108" i="8"/>
  <c r="L108" i="8"/>
  <c r="K108" i="8"/>
  <c r="J108" i="8"/>
  <c r="G108" i="8"/>
  <c r="F108" i="8"/>
  <c r="O107" i="8"/>
  <c r="N107" i="8"/>
  <c r="M107" i="8"/>
  <c r="L107" i="8"/>
  <c r="L114" i="8" s="1"/>
  <c r="K107" i="8"/>
  <c r="J107" i="8"/>
  <c r="G107" i="8"/>
  <c r="F107" i="8"/>
  <c r="U106" i="8"/>
  <c r="T106" i="8"/>
  <c r="O106" i="8"/>
  <c r="N106" i="8"/>
  <c r="M106" i="8"/>
  <c r="L106" i="8"/>
  <c r="K106" i="8"/>
  <c r="J106" i="8"/>
  <c r="G106" i="8"/>
  <c r="F106" i="8"/>
  <c r="O105" i="8"/>
  <c r="N105" i="8"/>
  <c r="M105" i="8"/>
  <c r="L105" i="8"/>
  <c r="K105" i="8"/>
  <c r="J105" i="8"/>
  <c r="G105" i="8"/>
  <c r="F105" i="8"/>
  <c r="U104" i="8"/>
  <c r="X104" i="8" s="1"/>
  <c r="T104" i="8"/>
  <c r="U102" i="8"/>
  <c r="T102" i="8"/>
  <c r="O102" i="8"/>
  <c r="N102" i="8"/>
  <c r="M102" i="8"/>
  <c r="L102" i="8"/>
  <c r="K102" i="8"/>
  <c r="J102" i="8"/>
  <c r="G102" i="8"/>
  <c r="F102" i="8"/>
  <c r="O101" i="8"/>
  <c r="N101" i="8"/>
  <c r="M101" i="8"/>
  <c r="L101" i="8"/>
  <c r="K101" i="8"/>
  <c r="J101" i="8"/>
  <c r="G101" i="8"/>
  <c r="F101" i="8"/>
  <c r="U100" i="8"/>
  <c r="V100" i="8" s="1"/>
  <c r="T100" i="8"/>
  <c r="O100" i="8"/>
  <c r="N100" i="8"/>
  <c r="M100" i="8"/>
  <c r="L100" i="8"/>
  <c r="K100" i="8"/>
  <c r="J100" i="8"/>
  <c r="G100" i="8"/>
  <c r="F100" i="8"/>
  <c r="U99" i="8"/>
  <c r="T99" i="8"/>
  <c r="Q99" i="8"/>
  <c r="O99" i="8"/>
  <c r="N99" i="8"/>
  <c r="M99" i="8"/>
  <c r="L99" i="8"/>
  <c r="K99" i="8"/>
  <c r="J99" i="8"/>
  <c r="I99" i="8"/>
  <c r="G99" i="8"/>
  <c r="F99" i="8"/>
  <c r="U98" i="8"/>
  <c r="V98" i="8" s="1"/>
  <c r="T98" i="8"/>
  <c r="Q98" i="8"/>
  <c r="O98" i="8"/>
  <c r="N98" i="8"/>
  <c r="M98" i="8"/>
  <c r="L98" i="8"/>
  <c r="K98" i="8"/>
  <c r="J98" i="8"/>
  <c r="I98" i="8"/>
  <c r="G98" i="8"/>
  <c r="F98" i="8"/>
  <c r="Q97" i="8"/>
  <c r="O97" i="8"/>
  <c r="N97" i="8"/>
  <c r="L97" i="8"/>
  <c r="K97" i="8"/>
  <c r="J97" i="8"/>
  <c r="I97" i="8"/>
  <c r="G97" i="8"/>
  <c r="F97" i="8"/>
  <c r="O96" i="8"/>
  <c r="N96" i="8"/>
  <c r="L96" i="8"/>
  <c r="J96" i="8"/>
  <c r="I96" i="8"/>
  <c r="G96" i="8"/>
  <c r="F96" i="8"/>
  <c r="U95" i="8"/>
  <c r="T95" i="8"/>
  <c r="O95" i="8"/>
  <c r="N95" i="8"/>
  <c r="M95" i="8"/>
  <c r="L95" i="8"/>
  <c r="K95" i="8"/>
  <c r="J95" i="8"/>
  <c r="I95" i="8"/>
  <c r="G95" i="8"/>
  <c r="F95" i="8"/>
  <c r="O94" i="8"/>
  <c r="N94" i="8"/>
  <c r="M94" i="8"/>
  <c r="L94" i="8"/>
  <c r="K94" i="8"/>
  <c r="J94" i="8"/>
  <c r="I94" i="8"/>
  <c r="G94" i="8"/>
  <c r="F94" i="8"/>
  <c r="U93" i="8"/>
  <c r="T93" i="8"/>
  <c r="U91" i="8"/>
  <c r="V91" i="8" s="1"/>
  <c r="T91" i="8"/>
  <c r="O91" i="8"/>
  <c r="N91" i="8"/>
  <c r="L91" i="8"/>
  <c r="K91" i="8"/>
  <c r="J91" i="8"/>
  <c r="F91" i="8"/>
  <c r="O90" i="8"/>
  <c r="N90" i="8"/>
  <c r="M90" i="8"/>
  <c r="L90" i="8"/>
  <c r="K90" i="8"/>
  <c r="J90" i="8"/>
  <c r="F90" i="8"/>
  <c r="U89" i="8"/>
  <c r="X89" i="8" s="1"/>
  <c r="T89" i="8"/>
  <c r="O89" i="8"/>
  <c r="N89" i="8"/>
  <c r="M89" i="8"/>
  <c r="L89" i="8"/>
  <c r="K89" i="8"/>
  <c r="J89" i="8"/>
  <c r="F89" i="8"/>
  <c r="U88" i="8"/>
  <c r="V88" i="8" s="1"/>
  <c r="T88" i="8"/>
  <c r="Q88" i="8"/>
  <c r="N88" i="8"/>
  <c r="M88" i="8"/>
  <c r="L88" i="8"/>
  <c r="K88" i="8"/>
  <c r="J88" i="8"/>
  <c r="I88" i="8"/>
  <c r="G88" i="8"/>
  <c r="F88" i="8"/>
  <c r="U87" i="8"/>
  <c r="T87" i="8"/>
  <c r="Q87" i="8"/>
  <c r="N87" i="8"/>
  <c r="M87" i="8"/>
  <c r="L87" i="8"/>
  <c r="K87" i="8"/>
  <c r="J87" i="8"/>
  <c r="I87" i="8"/>
  <c r="G87" i="8"/>
  <c r="F87" i="8"/>
  <c r="Q86" i="8"/>
  <c r="N86" i="8"/>
  <c r="M86" i="8"/>
  <c r="L86" i="8"/>
  <c r="K86" i="8"/>
  <c r="J86" i="8"/>
  <c r="I86" i="8"/>
  <c r="G86" i="8"/>
  <c r="F86" i="8"/>
  <c r="L85" i="8"/>
  <c r="K85" i="8"/>
  <c r="J85" i="8"/>
  <c r="I85" i="8"/>
  <c r="G85" i="8"/>
  <c r="F85" i="8"/>
  <c r="X84" i="8"/>
  <c r="V84" i="8"/>
  <c r="U84" i="8"/>
  <c r="T84" i="8"/>
  <c r="L84" i="8"/>
  <c r="K84" i="8"/>
  <c r="J84" i="8"/>
  <c r="I84" i="8"/>
  <c r="P84" i="8" s="1"/>
  <c r="G84" i="8"/>
  <c r="F84" i="8"/>
  <c r="L83" i="8"/>
  <c r="K83" i="8"/>
  <c r="J83" i="8"/>
  <c r="I83" i="8"/>
  <c r="G83" i="8"/>
  <c r="F83" i="8"/>
  <c r="U82" i="8"/>
  <c r="X82" i="8" s="1"/>
  <c r="T82" i="8"/>
  <c r="U80" i="8"/>
  <c r="T80" i="8"/>
  <c r="Q80" i="8"/>
  <c r="O80" i="8"/>
  <c r="N80" i="8"/>
  <c r="M80" i="8"/>
  <c r="L80" i="8"/>
  <c r="K80" i="8"/>
  <c r="J80" i="8"/>
  <c r="I80" i="8"/>
  <c r="G80" i="8"/>
  <c r="F80" i="8"/>
  <c r="O79" i="8"/>
  <c r="N79" i="8"/>
  <c r="M79" i="8"/>
  <c r="L79" i="8"/>
  <c r="K79" i="8"/>
  <c r="J79" i="8"/>
  <c r="I79" i="8"/>
  <c r="G79" i="8"/>
  <c r="F79" i="8"/>
  <c r="U78" i="8"/>
  <c r="T78" i="8"/>
  <c r="Q78" i="8"/>
  <c r="O78" i="8"/>
  <c r="N78" i="8"/>
  <c r="M78" i="8"/>
  <c r="L78" i="8"/>
  <c r="K78" i="8"/>
  <c r="J78" i="8"/>
  <c r="I78" i="8"/>
  <c r="G78" i="8"/>
  <c r="F78" i="8"/>
  <c r="P78" i="8" s="1"/>
  <c r="U77" i="8"/>
  <c r="T77" i="8"/>
  <c r="N77" i="8"/>
  <c r="M77" i="8"/>
  <c r="L77" i="8"/>
  <c r="K77" i="8"/>
  <c r="J77" i="8"/>
  <c r="I77" i="8"/>
  <c r="G77" i="8"/>
  <c r="F77" i="8"/>
  <c r="U76" i="8"/>
  <c r="T76" i="8"/>
  <c r="N76" i="8"/>
  <c r="M76" i="8"/>
  <c r="L76" i="8"/>
  <c r="K76" i="8"/>
  <c r="J76" i="8"/>
  <c r="I76" i="8"/>
  <c r="G76" i="8"/>
  <c r="F76" i="8"/>
  <c r="N75" i="8"/>
  <c r="M75" i="8"/>
  <c r="L75" i="8"/>
  <c r="K75" i="8"/>
  <c r="J75" i="8"/>
  <c r="I75" i="8"/>
  <c r="G75" i="8"/>
  <c r="F75" i="8"/>
  <c r="N74" i="8"/>
  <c r="M74" i="8"/>
  <c r="L74" i="8"/>
  <c r="K74" i="8"/>
  <c r="J74" i="8"/>
  <c r="I74" i="8"/>
  <c r="G74" i="8"/>
  <c r="F74" i="8"/>
  <c r="P74" i="8" s="1"/>
  <c r="U73" i="8"/>
  <c r="T73" i="8"/>
  <c r="N73" i="8"/>
  <c r="M73" i="8"/>
  <c r="L73" i="8"/>
  <c r="K73" i="8"/>
  <c r="J73" i="8"/>
  <c r="I73" i="8"/>
  <c r="G73" i="8"/>
  <c r="F73" i="8"/>
  <c r="N72" i="8"/>
  <c r="M72" i="8"/>
  <c r="L72" i="8"/>
  <c r="K72" i="8"/>
  <c r="J72" i="8"/>
  <c r="I72" i="8"/>
  <c r="G72" i="8"/>
  <c r="F72" i="8"/>
  <c r="U71" i="8"/>
  <c r="X71" i="8" s="1"/>
  <c r="T71" i="8"/>
  <c r="U69" i="8"/>
  <c r="T69" i="8"/>
  <c r="O69" i="8"/>
  <c r="N69" i="8"/>
  <c r="M69" i="8"/>
  <c r="L69" i="8"/>
  <c r="K69" i="8"/>
  <c r="J69" i="8"/>
  <c r="I69" i="8"/>
  <c r="F69" i="8"/>
  <c r="O68" i="8"/>
  <c r="N68" i="8"/>
  <c r="M68" i="8"/>
  <c r="L68" i="8"/>
  <c r="K68" i="8"/>
  <c r="K70" i="8" s="1"/>
  <c r="J68" i="8"/>
  <c r="I68" i="8"/>
  <c r="F68" i="8"/>
  <c r="X67" i="8"/>
  <c r="U67" i="8"/>
  <c r="V67" i="8" s="1"/>
  <c r="T67" i="8"/>
  <c r="O67" i="8"/>
  <c r="N67" i="8"/>
  <c r="M67" i="8"/>
  <c r="L67" i="8"/>
  <c r="K67" i="8"/>
  <c r="J67" i="8"/>
  <c r="I67" i="8"/>
  <c r="F67" i="8"/>
  <c r="U66" i="8"/>
  <c r="T66" i="8"/>
  <c r="O66" i="8"/>
  <c r="N66" i="8"/>
  <c r="M66" i="8"/>
  <c r="L66" i="8"/>
  <c r="K66" i="8"/>
  <c r="J66" i="8"/>
  <c r="I66" i="8"/>
  <c r="F66" i="8"/>
  <c r="U65" i="8"/>
  <c r="T65" i="8"/>
  <c r="O65" i="8"/>
  <c r="N65" i="8"/>
  <c r="M65" i="8"/>
  <c r="L65" i="8"/>
  <c r="K65" i="8"/>
  <c r="J65" i="8"/>
  <c r="I65" i="8"/>
  <c r="F65" i="8"/>
  <c r="O64" i="8"/>
  <c r="N64" i="8"/>
  <c r="M64" i="8"/>
  <c r="L64" i="8"/>
  <c r="K64" i="8"/>
  <c r="J64" i="8"/>
  <c r="I64" i="8"/>
  <c r="F64" i="8"/>
  <c r="O63" i="8"/>
  <c r="N63" i="8"/>
  <c r="M63" i="8"/>
  <c r="L63" i="8"/>
  <c r="K63" i="8"/>
  <c r="J63" i="8"/>
  <c r="I63" i="8"/>
  <c r="H63" i="8"/>
  <c r="G63" i="8"/>
  <c r="F63" i="8"/>
  <c r="U62" i="8"/>
  <c r="V62" i="8" s="1"/>
  <c r="T62" i="8"/>
  <c r="O62" i="8"/>
  <c r="N62" i="8"/>
  <c r="M62" i="8"/>
  <c r="L62" i="8"/>
  <c r="K62" i="8"/>
  <c r="J62" i="8"/>
  <c r="I62" i="8"/>
  <c r="H62" i="8"/>
  <c r="P62" i="8" s="1"/>
  <c r="G62" i="8"/>
  <c r="F62" i="8"/>
  <c r="O61" i="8"/>
  <c r="N61" i="8"/>
  <c r="M61" i="8"/>
  <c r="L61" i="8"/>
  <c r="K61" i="8"/>
  <c r="J61" i="8"/>
  <c r="I61" i="8"/>
  <c r="H61" i="8"/>
  <c r="G61" i="8"/>
  <c r="F61" i="8"/>
  <c r="U60" i="8"/>
  <c r="T60" i="8"/>
  <c r="U58" i="8"/>
  <c r="V58" i="8" s="1"/>
  <c r="T58" i="8"/>
  <c r="N58" i="8"/>
  <c r="M58" i="8"/>
  <c r="L58" i="8"/>
  <c r="K58" i="8"/>
  <c r="J58" i="8"/>
  <c r="G58" i="8"/>
  <c r="F58" i="8"/>
  <c r="P58" i="8" s="1"/>
  <c r="N57" i="8"/>
  <c r="M57" i="8"/>
  <c r="L57" i="8"/>
  <c r="K57" i="8"/>
  <c r="J57" i="8"/>
  <c r="I57" i="8"/>
  <c r="G57" i="8"/>
  <c r="F57" i="8"/>
  <c r="U56" i="8"/>
  <c r="V56" i="8" s="1"/>
  <c r="T56" i="8"/>
  <c r="N56" i="8"/>
  <c r="M56" i="8"/>
  <c r="L56" i="8"/>
  <c r="K56" i="8"/>
  <c r="J56" i="8"/>
  <c r="I56" i="8"/>
  <c r="G56" i="8"/>
  <c r="F56" i="8"/>
  <c r="V55" i="8"/>
  <c r="U55" i="8"/>
  <c r="X55" i="8" s="1"/>
  <c r="T55" i="8"/>
  <c r="O55" i="8"/>
  <c r="N55" i="8"/>
  <c r="M55" i="8"/>
  <c r="L55" i="8"/>
  <c r="K55" i="8"/>
  <c r="J55" i="8"/>
  <c r="I55" i="8"/>
  <c r="G55" i="8"/>
  <c r="F55" i="8"/>
  <c r="X54" i="8"/>
  <c r="U54" i="8"/>
  <c r="V54" i="8" s="1"/>
  <c r="T54" i="8"/>
  <c r="O54" i="8"/>
  <c r="N54" i="8"/>
  <c r="M54" i="8"/>
  <c r="L54" i="8"/>
  <c r="K54" i="8"/>
  <c r="J54" i="8"/>
  <c r="I54" i="8"/>
  <c r="G54" i="8"/>
  <c r="F54" i="8"/>
  <c r="O53" i="8"/>
  <c r="N53" i="8"/>
  <c r="M53" i="8"/>
  <c r="L53" i="8"/>
  <c r="K53" i="8"/>
  <c r="J53" i="8"/>
  <c r="I53" i="8"/>
  <c r="G53" i="8"/>
  <c r="F53" i="8"/>
  <c r="O52" i="8"/>
  <c r="N52" i="8"/>
  <c r="M52" i="8"/>
  <c r="L52" i="8"/>
  <c r="K52" i="8"/>
  <c r="J52" i="8"/>
  <c r="I52" i="8"/>
  <c r="G52" i="8"/>
  <c r="F52" i="8"/>
  <c r="U51" i="8"/>
  <c r="T51" i="8"/>
  <c r="O51" i="8"/>
  <c r="N51" i="8"/>
  <c r="M51" i="8"/>
  <c r="L51" i="8"/>
  <c r="K51" i="8"/>
  <c r="J51" i="8"/>
  <c r="I51" i="8"/>
  <c r="G51" i="8"/>
  <c r="F51" i="8"/>
  <c r="O50" i="8"/>
  <c r="N50" i="8"/>
  <c r="M50" i="8"/>
  <c r="M59" i="8" s="1"/>
  <c r="L50" i="8"/>
  <c r="K50" i="8"/>
  <c r="J50" i="8"/>
  <c r="I50" i="8"/>
  <c r="G50" i="8"/>
  <c r="F50" i="8"/>
  <c r="F59" i="8" s="1"/>
  <c r="U49" i="8"/>
  <c r="X49" i="8" s="1"/>
  <c r="T49" i="8"/>
  <c r="U47" i="8"/>
  <c r="T47" i="8"/>
  <c r="M47" i="8"/>
  <c r="L47" i="8"/>
  <c r="K47" i="8"/>
  <c r="J47" i="8"/>
  <c r="I47" i="8"/>
  <c r="G47" i="8"/>
  <c r="F47" i="8"/>
  <c r="M46" i="8"/>
  <c r="L46" i="8"/>
  <c r="K46" i="8"/>
  <c r="J46" i="8"/>
  <c r="I46" i="8"/>
  <c r="G46" i="8"/>
  <c r="P46" i="8" s="1"/>
  <c r="F46" i="8"/>
  <c r="U45" i="8"/>
  <c r="V45" i="8" s="1"/>
  <c r="T45" i="8"/>
  <c r="M45" i="8"/>
  <c r="L45" i="8"/>
  <c r="K45" i="8"/>
  <c r="J45" i="8"/>
  <c r="I45" i="8"/>
  <c r="G45" i="8"/>
  <c r="F45" i="8"/>
  <c r="U44" i="8"/>
  <c r="V44" i="8" s="1"/>
  <c r="T44" i="8"/>
  <c r="O44" i="8"/>
  <c r="N44" i="8"/>
  <c r="M44" i="8"/>
  <c r="L44" i="8"/>
  <c r="K44" i="8"/>
  <c r="J44" i="8"/>
  <c r="I44" i="8"/>
  <c r="G44" i="8"/>
  <c r="F44" i="8"/>
  <c r="U43" i="8"/>
  <c r="V43" i="8" s="1"/>
  <c r="T43" i="8"/>
  <c r="O43" i="8"/>
  <c r="N43" i="8"/>
  <c r="M43" i="8"/>
  <c r="L43" i="8"/>
  <c r="K43" i="8"/>
  <c r="J43" i="8"/>
  <c r="I43" i="8"/>
  <c r="G43" i="8"/>
  <c r="P43" i="8" s="1"/>
  <c r="F43" i="8"/>
  <c r="O42" i="8"/>
  <c r="O48" i="8" s="1"/>
  <c r="N42" i="8"/>
  <c r="M42" i="8"/>
  <c r="L42" i="8"/>
  <c r="K42" i="8"/>
  <c r="J42" i="8"/>
  <c r="I42" i="8"/>
  <c r="G42" i="8"/>
  <c r="F42" i="8"/>
  <c r="N41" i="8"/>
  <c r="M41" i="8"/>
  <c r="L41" i="8"/>
  <c r="K41" i="8"/>
  <c r="K48" i="8" s="1"/>
  <c r="J41" i="8"/>
  <c r="I41" i="8"/>
  <c r="G41" i="8"/>
  <c r="F41" i="8"/>
  <c r="U40" i="8"/>
  <c r="X40" i="8" s="1"/>
  <c r="T40" i="8"/>
  <c r="N40" i="8"/>
  <c r="M40" i="8"/>
  <c r="L40" i="8"/>
  <c r="K40" i="8"/>
  <c r="J40" i="8"/>
  <c r="I40" i="8"/>
  <c r="G40" i="8"/>
  <c r="F40" i="8"/>
  <c r="M39" i="8"/>
  <c r="L39" i="8"/>
  <c r="K39" i="8"/>
  <c r="J39" i="8"/>
  <c r="I39" i="8"/>
  <c r="G39" i="8"/>
  <c r="P39" i="8" s="1"/>
  <c r="F39" i="8"/>
  <c r="U36" i="8"/>
  <c r="X36" i="8" s="1"/>
  <c r="T36" i="8"/>
  <c r="O36" i="8"/>
  <c r="N36" i="8"/>
  <c r="M36" i="8"/>
  <c r="L36" i="8"/>
  <c r="K36" i="8"/>
  <c r="J36" i="8"/>
  <c r="I36" i="8"/>
  <c r="G36" i="8"/>
  <c r="F36" i="8"/>
  <c r="O35" i="8"/>
  <c r="N35" i="8"/>
  <c r="M35" i="8"/>
  <c r="L35" i="8"/>
  <c r="K35" i="8"/>
  <c r="J35" i="8"/>
  <c r="I35" i="8"/>
  <c r="G35" i="8"/>
  <c r="F35" i="8"/>
  <c r="U34" i="8"/>
  <c r="X34" i="8" s="1"/>
  <c r="T34" i="8"/>
  <c r="O34" i="8"/>
  <c r="N34" i="8"/>
  <c r="M34" i="8"/>
  <c r="L34" i="8"/>
  <c r="K34" i="8"/>
  <c r="J34" i="8"/>
  <c r="I34" i="8"/>
  <c r="G34" i="8"/>
  <c r="F34" i="8"/>
  <c r="X33" i="8"/>
  <c r="V33" i="8"/>
  <c r="U33" i="8"/>
  <c r="T33" i="8"/>
  <c r="O33" i="8"/>
  <c r="N33" i="8"/>
  <c r="M33" i="8"/>
  <c r="L33" i="8"/>
  <c r="K33" i="8"/>
  <c r="J33" i="8"/>
  <c r="I33" i="8"/>
  <c r="F33" i="8"/>
  <c r="U32" i="8"/>
  <c r="V32" i="8" s="1"/>
  <c r="T32" i="8"/>
  <c r="O32" i="8"/>
  <c r="N32" i="8"/>
  <c r="M32" i="8"/>
  <c r="L32" i="8"/>
  <c r="K32" i="8"/>
  <c r="J32" i="8"/>
  <c r="I32" i="8"/>
  <c r="F32" i="8"/>
  <c r="O31" i="8"/>
  <c r="N31" i="8"/>
  <c r="M31" i="8"/>
  <c r="L31" i="8"/>
  <c r="K31" i="8"/>
  <c r="J31" i="8"/>
  <c r="I31" i="8"/>
  <c r="F31" i="8"/>
  <c r="P31" i="8" s="1"/>
  <c r="O30" i="8"/>
  <c r="N30" i="8"/>
  <c r="M30" i="8"/>
  <c r="L30" i="8"/>
  <c r="K30" i="8"/>
  <c r="J30" i="8"/>
  <c r="I30" i="8"/>
  <c r="G30" i="8"/>
  <c r="P30" i="8" s="1"/>
  <c r="F30" i="8"/>
  <c r="U29" i="8"/>
  <c r="V29" i="8" s="1"/>
  <c r="T29" i="8"/>
  <c r="O29" i="8"/>
  <c r="N29" i="8"/>
  <c r="M29" i="8"/>
  <c r="L29" i="8"/>
  <c r="K29" i="8"/>
  <c r="J29" i="8"/>
  <c r="I29" i="8"/>
  <c r="G29" i="8"/>
  <c r="F29" i="8"/>
  <c r="O28" i="8"/>
  <c r="N28" i="8"/>
  <c r="M28" i="8"/>
  <c r="L28" i="8"/>
  <c r="L37" i="8" s="1"/>
  <c r="K28" i="8"/>
  <c r="J28" i="8"/>
  <c r="I28" i="8"/>
  <c r="G28" i="8"/>
  <c r="P28" i="8" s="1"/>
  <c r="F28" i="8"/>
  <c r="U25" i="8"/>
  <c r="X25" i="8" s="1"/>
  <c r="T25" i="8"/>
  <c r="O25" i="8"/>
  <c r="N25" i="8"/>
  <c r="M25" i="8"/>
  <c r="L25" i="8"/>
  <c r="K25" i="8"/>
  <c r="J25" i="8"/>
  <c r="I25" i="8"/>
  <c r="G25" i="8"/>
  <c r="F25" i="8"/>
  <c r="O24" i="8"/>
  <c r="N24" i="8"/>
  <c r="M24" i="8"/>
  <c r="L24" i="8"/>
  <c r="K24" i="8"/>
  <c r="J24" i="8"/>
  <c r="I24" i="8"/>
  <c r="G24" i="8"/>
  <c r="F24" i="8"/>
  <c r="X23" i="8"/>
  <c r="U23" i="8"/>
  <c r="V23" i="8" s="1"/>
  <c r="T23" i="8"/>
  <c r="O23" i="8"/>
  <c r="O26" i="8" s="1"/>
  <c r="N23" i="8"/>
  <c r="M23" i="8"/>
  <c r="L23" i="8"/>
  <c r="K23" i="8"/>
  <c r="J23" i="8"/>
  <c r="I23" i="8"/>
  <c r="G23" i="8"/>
  <c r="F23" i="8"/>
  <c r="P23" i="8" s="1"/>
  <c r="U22" i="8"/>
  <c r="T22" i="8"/>
  <c r="L22" i="8"/>
  <c r="K22" i="8"/>
  <c r="J22" i="8"/>
  <c r="G22" i="8"/>
  <c r="F22" i="8"/>
  <c r="U21" i="8"/>
  <c r="X21" i="8" s="1"/>
  <c r="T21" i="8"/>
  <c r="L21" i="8"/>
  <c r="K21" i="8"/>
  <c r="J21" i="8"/>
  <c r="G21" i="8"/>
  <c r="F21" i="8"/>
  <c r="L20" i="8"/>
  <c r="K20" i="8"/>
  <c r="J20" i="8"/>
  <c r="G20" i="8"/>
  <c r="F20" i="8"/>
  <c r="N19" i="8"/>
  <c r="M19" i="8"/>
  <c r="L19" i="8"/>
  <c r="K19" i="8"/>
  <c r="J19" i="8"/>
  <c r="P19" i="8" s="1"/>
  <c r="F19" i="8"/>
  <c r="U18" i="8"/>
  <c r="V18" i="8" s="1"/>
  <c r="T18" i="8"/>
  <c r="N18" i="8"/>
  <c r="M18" i="8"/>
  <c r="L18" i="8"/>
  <c r="K18" i="8"/>
  <c r="J18" i="8"/>
  <c r="F18" i="8"/>
  <c r="N17" i="8"/>
  <c r="M17" i="8"/>
  <c r="L17" i="8"/>
  <c r="K17" i="8"/>
  <c r="J17" i="8"/>
  <c r="F17" i="8"/>
  <c r="M14" i="8"/>
  <c r="L14" i="8"/>
  <c r="K14" i="8"/>
  <c r="J14" i="8"/>
  <c r="G14" i="8"/>
  <c r="F14" i="8"/>
  <c r="M13" i="8"/>
  <c r="L13" i="8"/>
  <c r="K13" i="8"/>
  <c r="J13" i="8"/>
  <c r="G13" i="8"/>
  <c r="F13" i="8"/>
  <c r="P13" i="8" s="1"/>
  <c r="M12" i="8"/>
  <c r="L12" i="8"/>
  <c r="K12" i="8"/>
  <c r="J12" i="8"/>
  <c r="G12" i="8"/>
  <c r="F12" i="8"/>
  <c r="N11" i="8"/>
  <c r="M11" i="8"/>
  <c r="L11" i="8"/>
  <c r="K11" i="8"/>
  <c r="J11" i="8"/>
  <c r="I11" i="8"/>
  <c r="G11" i="8"/>
  <c r="F11" i="8"/>
  <c r="N10" i="8"/>
  <c r="M10" i="8"/>
  <c r="L10" i="8"/>
  <c r="K10" i="8"/>
  <c r="J10" i="8"/>
  <c r="I10" i="8"/>
  <c r="G10" i="8"/>
  <c r="F10" i="8"/>
  <c r="N9" i="8"/>
  <c r="M9" i="8"/>
  <c r="L9" i="8"/>
  <c r="K9" i="8"/>
  <c r="J9" i="8"/>
  <c r="I9" i="8"/>
  <c r="G9" i="8"/>
  <c r="F9" i="8"/>
  <c r="Q8" i="8"/>
  <c r="O8" i="8"/>
  <c r="N8" i="8"/>
  <c r="M8" i="8"/>
  <c r="L8" i="8"/>
  <c r="K8" i="8"/>
  <c r="J8" i="8"/>
  <c r="H8" i="8"/>
  <c r="G8" i="8"/>
  <c r="F8" i="8"/>
  <c r="P8" i="8" s="1"/>
  <c r="Q7" i="8"/>
  <c r="O7" i="8"/>
  <c r="N7" i="8"/>
  <c r="M7" i="8"/>
  <c r="L7" i="8"/>
  <c r="K7" i="8"/>
  <c r="J7" i="8"/>
  <c r="H7" i="8"/>
  <c r="G7" i="8"/>
  <c r="F7" i="8"/>
  <c r="U6" i="8"/>
  <c r="V6" i="8" s="1"/>
  <c r="T6" i="8"/>
  <c r="Q6" i="8"/>
  <c r="O6" i="8"/>
  <c r="N6" i="8"/>
  <c r="N15" i="8" s="1"/>
  <c r="M6" i="8"/>
  <c r="M15" i="8" s="1"/>
  <c r="L6" i="8"/>
  <c r="K6" i="8"/>
  <c r="J6" i="8"/>
  <c r="H6" i="8"/>
  <c r="G6" i="8"/>
  <c r="F6" i="8"/>
  <c r="X172" i="8" l="1"/>
  <c r="V172" i="8"/>
  <c r="J15" i="8"/>
  <c r="P17" i="8"/>
  <c r="V25" i="8"/>
  <c r="M37" i="8"/>
  <c r="P45" i="8"/>
  <c r="P69" i="8"/>
  <c r="V71" i="8"/>
  <c r="X88" i="8"/>
  <c r="M103" i="8"/>
  <c r="X100" i="8"/>
  <c r="F136" i="8"/>
  <c r="X157" i="8"/>
  <c r="V157" i="8"/>
  <c r="P166" i="8"/>
  <c r="P22" i="8"/>
  <c r="P33" i="8"/>
  <c r="K37" i="8"/>
  <c r="P35" i="8"/>
  <c r="V36" i="8"/>
  <c r="N48" i="8"/>
  <c r="V47" i="8"/>
  <c r="X47" i="8"/>
  <c r="O59" i="8"/>
  <c r="P67" i="8"/>
  <c r="P7" i="8"/>
  <c r="F26" i="8"/>
  <c r="M26" i="8"/>
  <c r="M181" i="8" s="1"/>
  <c r="X56" i="8"/>
  <c r="X62" i="8"/>
  <c r="V82" i="8"/>
  <c r="J92" i="8"/>
  <c r="V89" i="8"/>
  <c r="X91" i="8"/>
  <c r="P99" i="8"/>
  <c r="P100" i="8"/>
  <c r="X102" i="8"/>
  <c r="V102" i="8"/>
  <c r="P117" i="8"/>
  <c r="J136" i="8"/>
  <c r="P129" i="8"/>
  <c r="P133" i="8"/>
  <c r="X133" i="8"/>
  <c r="V133" i="8"/>
  <c r="P140" i="8"/>
  <c r="X146" i="8"/>
  <c r="V146" i="8"/>
  <c r="M169" i="8"/>
  <c r="X161" i="8"/>
  <c r="V161" i="8"/>
  <c r="X165" i="8"/>
  <c r="V165" i="8"/>
  <c r="X22" i="8"/>
  <c r="V22" i="8"/>
  <c r="F37" i="8"/>
  <c r="L48" i="8"/>
  <c r="F81" i="8"/>
  <c r="M81" i="8"/>
  <c r="X121" i="8"/>
  <c r="V121" i="8"/>
  <c r="P18" i="8"/>
  <c r="V21" i="8"/>
  <c r="P24" i="8"/>
  <c r="P29" i="8"/>
  <c r="V34" i="8"/>
  <c r="V40" i="8"/>
  <c r="X44" i="8"/>
  <c r="V49" i="8"/>
  <c r="X58" i="8"/>
  <c r="O70" i="8"/>
  <c r="P91" i="8"/>
  <c r="P97" i="8"/>
  <c r="F114" i="8"/>
  <c r="P111" i="8"/>
  <c r="V113" i="8"/>
  <c r="L136" i="8"/>
  <c r="X164" i="8"/>
  <c r="V164" i="8"/>
  <c r="F180" i="8"/>
  <c r="P34" i="8"/>
  <c r="O37" i="8"/>
  <c r="J48" i="8"/>
  <c r="P41" i="8"/>
  <c r="K59" i="8"/>
  <c r="P64" i="8"/>
  <c r="X69" i="8"/>
  <c r="V69" i="8"/>
  <c r="P86" i="8"/>
  <c r="P88" i="8"/>
  <c r="P90" i="8"/>
  <c r="X98" i="8"/>
  <c r="P101" i="8"/>
  <c r="P102" i="8"/>
  <c r="V104" i="8"/>
  <c r="P118" i="8"/>
  <c r="P121" i="8"/>
  <c r="V122" i="8"/>
  <c r="P124" i="8"/>
  <c r="X128" i="8"/>
  <c r="V128" i="8"/>
  <c r="F169" i="8"/>
  <c r="P176" i="8"/>
  <c r="P150" i="8"/>
  <c r="M158" i="8"/>
  <c r="P152" i="8"/>
  <c r="L158" i="8"/>
  <c r="P154" i="8"/>
  <c r="P155" i="8"/>
  <c r="P175" i="8"/>
  <c r="J180" i="8"/>
  <c r="P6" i="8"/>
  <c r="K15" i="8"/>
  <c r="O15" i="8"/>
  <c r="P10" i="8"/>
  <c r="P11" i="8"/>
  <c r="P12" i="8"/>
  <c r="P14" i="8"/>
  <c r="N26" i="8"/>
  <c r="N181" i="8" s="1"/>
  <c r="P36" i="8"/>
  <c r="P42" i="8"/>
  <c r="P44" i="8"/>
  <c r="P47" i="8"/>
  <c r="P54" i="8"/>
  <c r="L59" i="8"/>
  <c r="P56" i="8"/>
  <c r="P79" i="8"/>
  <c r="P80" i="8"/>
  <c r="P83" i="8"/>
  <c r="L92" i="8"/>
  <c r="M92" i="8"/>
  <c r="P89" i="8"/>
  <c r="O92" i="8"/>
  <c r="K103" i="8"/>
  <c r="O103" i="8"/>
  <c r="J103" i="8"/>
  <c r="N103" i="8"/>
  <c r="K114" i="8"/>
  <c r="O114" i="8"/>
  <c r="M114" i="8"/>
  <c r="L125" i="8"/>
  <c r="P119" i="8"/>
  <c r="P135" i="8"/>
  <c r="P142" i="8"/>
  <c r="N169" i="8"/>
  <c r="P167" i="8"/>
  <c r="P174" i="8"/>
  <c r="P178" i="8"/>
  <c r="F15" i="8"/>
  <c r="K26" i="8"/>
  <c r="P32" i="8"/>
  <c r="P75" i="8"/>
  <c r="X78" i="8"/>
  <c r="V78" i="8"/>
  <c r="F103" i="8"/>
  <c r="P94" i="8"/>
  <c r="X124" i="8"/>
  <c r="V124" i="8"/>
  <c r="P127" i="8"/>
  <c r="X131" i="8"/>
  <c r="V131" i="8"/>
  <c r="V148" i="8"/>
  <c r="X148" i="8"/>
  <c r="V150" i="8"/>
  <c r="X150" i="8"/>
  <c r="F158" i="8"/>
  <c r="X6" i="8"/>
  <c r="J26" i="8"/>
  <c r="X29" i="8"/>
  <c r="F48" i="8"/>
  <c r="P40" i="8"/>
  <c r="X51" i="8"/>
  <c r="V51" i="8"/>
  <c r="P57" i="8"/>
  <c r="P61" i="8"/>
  <c r="F70" i="8"/>
  <c r="J70" i="8"/>
  <c r="N70" i="8"/>
  <c r="X65" i="8"/>
  <c r="V65" i="8"/>
  <c r="P68" i="8"/>
  <c r="J81" i="8"/>
  <c r="N81" i="8"/>
  <c r="O81" i="8"/>
  <c r="N92" i="8"/>
  <c r="X109" i="8"/>
  <c r="V109" i="8"/>
  <c r="J125" i="8"/>
  <c r="P128" i="8"/>
  <c r="X143" i="8"/>
  <c r="V143" i="8"/>
  <c r="F147" i="8"/>
  <c r="P153" i="8"/>
  <c r="K169" i="8"/>
  <c r="O169" i="8"/>
  <c r="V60" i="8"/>
  <c r="X60" i="8"/>
  <c r="P20" i="8"/>
  <c r="P25" i="8"/>
  <c r="J37" i="8"/>
  <c r="N37" i="8"/>
  <c r="P50" i="8"/>
  <c r="P52" i="8"/>
  <c r="P63" i="8"/>
  <c r="P66" i="8"/>
  <c r="X76" i="8"/>
  <c r="V76" i="8"/>
  <c r="V106" i="8"/>
  <c r="X106" i="8"/>
  <c r="P110" i="8"/>
  <c r="V115" i="8"/>
  <c r="X115" i="8"/>
  <c r="V137" i="8"/>
  <c r="X137" i="8"/>
  <c r="J147" i="8"/>
  <c r="N147" i="8"/>
  <c r="P139" i="8"/>
  <c r="P144" i="8"/>
  <c r="L15" i="8"/>
  <c r="P9" i="8"/>
  <c r="L26" i="8"/>
  <c r="X18" i="8"/>
  <c r="P21" i="8"/>
  <c r="X32" i="8"/>
  <c r="M48" i="8"/>
  <c r="X43" i="8"/>
  <c r="X45" i="8"/>
  <c r="P51" i="8"/>
  <c r="P53" i="8"/>
  <c r="L70" i="8"/>
  <c r="L81" i="8"/>
  <c r="V73" i="8"/>
  <c r="X73" i="8"/>
  <c r="P77" i="8"/>
  <c r="V95" i="8"/>
  <c r="X95" i="8"/>
  <c r="P107" i="8"/>
  <c r="P108" i="8"/>
  <c r="P113" i="8"/>
  <c r="X120" i="8"/>
  <c r="V120" i="8"/>
  <c r="P145" i="8"/>
  <c r="P164" i="8"/>
  <c r="P172" i="8"/>
  <c r="P173" i="8"/>
  <c r="V179" i="8"/>
  <c r="X179" i="8"/>
  <c r="J59" i="8"/>
  <c r="N59" i="8"/>
  <c r="P55" i="8"/>
  <c r="M70" i="8"/>
  <c r="P72" i="8"/>
  <c r="K81" i="8"/>
  <c r="P73" i="8"/>
  <c r="P76" i="8"/>
  <c r="V77" i="8"/>
  <c r="X77" i="8"/>
  <c r="V80" i="8"/>
  <c r="X80" i="8"/>
  <c r="K92" i="8"/>
  <c r="V87" i="8"/>
  <c r="X87" i="8"/>
  <c r="L103" i="8"/>
  <c r="P96" i="8"/>
  <c r="P105" i="8"/>
  <c r="P106" i="8"/>
  <c r="P109" i="8"/>
  <c r="V110" i="8"/>
  <c r="X110" i="8"/>
  <c r="M125" i="8"/>
  <c r="P123" i="8"/>
  <c r="V126" i="8"/>
  <c r="X126" i="8"/>
  <c r="K136" i="8"/>
  <c r="O136" i="8"/>
  <c r="K147" i="8"/>
  <c r="O147" i="8"/>
  <c r="V139" i="8"/>
  <c r="X139" i="8"/>
  <c r="P141" i="8"/>
  <c r="P146" i="8"/>
  <c r="K158" i="8"/>
  <c r="O158" i="8"/>
  <c r="P156" i="8"/>
  <c r="P162" i="8"/>
  <c r="P163" i="8"/>
  <c r="V166" i="8"/>
  <c r="X166" i="8"/>
  <c r="P168" i="8"/>
  <c r="P177" i="8"/>
  <c r="V168" i="8"/>
  <c r="X168" i="8"/>
  <c r="K180" i="8"/>
  <c r="O180" i="8"/>
  <c r="P179" i="8"/>
  <c r="P65" i="8"/>
  <c r="V66" i="8"/>
  <c r="X66" i="8"/>
  <c r="P85" i="8"/>
  <c r="P87" i="8"/>
  <c r="F92" i="8"/>
  <c r="V93" i="8"/>
  <c r="X93" i="8"/>
  <c r="P95" i="8"/>
  <c r="P98" i="8"/>
  <c r="V99" i="8"/>
  <c r="X99" i="8"/>
  <c r="J114" i="8"/>
  <c r="N114" i="8"/>
  <c r="P112" i="8"/>
  <c r="F125" i="8"/>
  <c r="P116" i="8"/>
  <c r="P122" i="8"/>
  <c r="P143" i="8"/>
  <c r="P149" i="8"/>
  <c r="P151" i="8"/>
  <c r="L169" i="8"/>
  <c r="P160" i="8"/>
  <c r="P171" i="8"/>
  <c r="L180" i="8"/>
  <c r="V177" i="8"/>
  <c r="X177" i="8"/>
  <c r="L181" i="8" l="1"/>
  <c r="O181" i="8"/>
  <c r="K181" i="8"/>
  <c r="J181" i="8"/>
  <c r="F181" i="8"/>
</calcChain>
</file>

<file path=xl/sharedStrings.xml><?xml version="1.0" encoding="utf-8"?>
<sst xmlns="http://schemas.openxmlformats.org/spreadsheetml/2006/main" count="593" uniqueCount="153">
  <si>
    <t>Powiat</t>
  </si>
  <si>
    <t>grudziądzki</t>
  </si>
  <si>
    <t>rycki</t>
  </si>
  <si>
    <t>białobrzeski</t>
  </si>
  <si>
    <t>bieszczadzki</t>
  </si>
  <si>
    <t>wysokomazowiecki</t>
  </si>
  <si>
    <t>opatowski</t>
  </si>
  <si>
    <t>Nr 
pow</t>
  </si>
  <si>
    <t>L.p.</t>
  </si>
  <si>
    <t>x</t>
  </si>
  <si>
    <t>spr</t>
  </si>
  <si>
    <t>Brakująca kwota na uczestnika po dodatkowych środkach z 09.07.2015 r.</t>
  </si>
  <si>
    <t>Dodatkowa kwota na 1 uczestnika na 6 miesięcy</t>
  </si>
  <si>
    <t>dolnośląskie</t>
  </si>
  <si>
    <t>kujawsko-pomorskie</t>
  </si>
  <si>
    <t>lubelskie</t>
  </si>
  <si>
    <t>małopolskie</t>
  </si>
  <si>
    <t>mazowieckie</t>
  </si>
  <si>
    <t>opolskie</t>
  </si>
  <si>
    <t>podkarpackie</t>
  </si>
  <si>
    <t>podlaskie</t>
  </si>
  <si>
    <t>śląskie</t>
  </si>
  <si>
    <t>świętokrzyskie</t>
  </si>
  <si>
    <t>warmińsko-mazurskie</t>
  </si>
  <si>
    <t>wielkopolskie</t>
  </si>
  <si>
    <t>zachodniopomorskie</t>
  </si>
  <si>
    <t>pomorskie</t>
  </si>
  <si>
    <t>lubuskie</t>
  </si>
  <si>
    <t>łódzkie</t>
  </si>
  <si>
    <t>kierownik</t>
  </si>
  <si>
    <t>pedagog</t>
  </si>
  <si>
    <t>księgowa</t>
  </si>
  <si>
    <t>liczba uczestników wtz</t>
  </si>
  <si>
    <t>Rok</t>
  </si>
  <si>
    <t>Nazwa wtz</t>
  </si>
  <si>
    <t>średnia</t>
  </si>
  <si>
    <t>psycholog</t>
  </si>
  <si>
    <t>bolesławiecki</t>
  </si>
  <si>
    <t>WTZ w Bolesławcu</t>
  </si>
  <si>
    <t>żarski</t>
  </si>
  <si>
    <t>Miasto Gorzów Wlkp.</t>
  </si>
  <si>
    <t>WTZ przy Stowarzyszeniu Rodzin Katolickich (psycholog 0,15)</t>
  </si>
  <si>
    <t>Miasto Zielona Góra</t>
  </si>
  <si>
    <t>koniński</t>
  </si>
  <si>
    <t>międzychodzki</t>
  </si>
  <si>
    <t>Kalisz Miasto</t>
  </si>
  <si>
    <t>kołobrzeski</t>
  </si>
  <si>
    <t>mogileński</t>
  </si>
  <si>
    <t>WTZ "RADOSNE SERCA" Gębice</t>
  </si>
  <si>
    <t>nakielski</t>
  </si>
  <si>
    <t>WTZ "POD DĘBEM" Nakło nad Notecią</t>
  </si>
  <si>
    <t>WTZ w Grudziądzu</t>
  </si>
  <si>
    <t>janowski (lubelski)</t>
  </si>
  <si>
    <t>WTZ w Rykach</t>
  </si>
  <si>
    <t>lubelski</t>
  </si>
  <si>
    <t>WTZ w Lublinie</t>
  </si>
  <si>
    <t>kętrzyński</t>
  </si>
  <si>
    <t>WTZ w Kętrzynie</t>
  </si>
  <si>
    <t>nidzicki</t>
  </si>
  <si>
    <t>szczycieński</t>
  </si>
  <si>
    <t>WTZ w Szczytnie (psycholog 0,4 etatu, księgowa 0,75 etatu)</t>
  </si>
  <si>
    <t>polkowicki</t>
  </si>
  <si>
    <t>Wałbrzych</t>
  </si>
  <si>
    <t>WTZ przy Stowarzyszeniu Dzieci i Rodzin Zasadniczej Szkoły Zawodowej Specjalnej (księgowa 0,5 etatu)</t>
  </si>
  <si>
    <t>chojnicki</t>
  </si>
  <si>
    <t>WTZ w Brusach (psycholog 0,5 etatu)</t>
  </si>
  <si>
    <t>tczewski</t>
  </si>
  <si>
    <t>zawierciański</t>
  </si>
  <si>
    <t>WTZ w Zawierciu Regionalna Fundacja Pomocy Niewidomym</t>
  </si>
  <si>
    <t>żywiecki</t>
  </si>
  <si>
    <t>WTZ Gilowice</t>
  </si>
  <si>
    <t>ostrowski</t>
  </si>
  <si>
    <t>WTZ przy Stowarzyszeniu "SZANSA" Ostrowiec Św.  (psycholog 0,5 etatu)</t>
  </si>
  <si>
    <t>starachowicki</t>
  </si>
  <si>
    <t>WTZ przy Parafii Rzymskokatolickiej p.w.Św. Judy Tadeusza</t>
  </si>
  <si>
    <t>WTZ SPDN "Radość" (księgowa 0,5 etatu)</t>
  </si>
  <si>
    <t>WTZ przy Domu Pomocy Społecznej w Zachcinku   (psycholog 0,5  etatu)</t>
  </si>
  <si>
    <t>WTZ w Paprotni (księgowa 0,75 etatu)</t>
  </si>
  <si>
    <t>WTZ 
ul. Graniczna 20 Kalisz (psycholog 0,5 etatu)</t>
  </si>
  <si>
    <t>WTZ Caritas Pelplin 
(księgowa 0,5 etatu)</t>
  </si>
  <si>
    <t>świdwiński</t>
  </si>
  <si>
    <t>WTZ przy DPS w Modrzewcu</t>
  </si>
  <si>
    <t>Miasto Koszalin</t>
  </si>
  <si>
    <t>WTZ nr 1 ul. Budowniczych 6 Koszalin (księgowa 0,5 etatu)</t>
  </si>
  <si>
    <t>WTZ w Nidzicy 
(księgowa 0,5 etatu)</t>
  </si>
  <si>
    <t>WTZ Kwilcz
(księgowa 0,5 etatu psycholog 0,5 etatu)</t>
  </si>
  <si>
    <t>WTZ ul. Mazowiecka 29 Kołobrzeg 
(psycholog 0,25 etatu)</t>
  </si>
  <si>
    <t>WTZ TRATWA 
(psycholog 0,75 etatu)</t>
  </si>
  <si>
    <t>WTZ Stowarzyszenie Charytatywne "Żyć Godnie" 
(psycholog 0,75 etatu)</t>
  </si>
  <si>
    <t>kutnowski</t>
  </si>
  <si>
    <t>WTZ PSOUU Koło w Żychlinie
(księgowa 0,5 etatu psycholog 0,25 etatu)</t>
  </si>
  <si>
    <t>piotrkowski</t>
  </si>
  <si>
    <t>WTZ w Sulejowie</t>
  </si>
  <si>
    <t>poddębicki</t>
  </si>
  <si>
    <t>WTZ w Poddębicach 
(psycholog 0,25 etatu księgowa 0,25 etatu)</t>
  </si>
  <si>
    <t>WTZ Olszynka
(psycholog 0,5 etatu)</t>
  </si>
  <si>
    <t>grodziski</t>
  </si>
  <si>
    <t>WTZ przy Stowarzyszeniu Malwa Plus
(księgowa 0,5 psycholog 0,75)</t>
  </si>
  <si>
    <t>Radom Miasto</t>
  </si>
  <si>
    <t>WTZ Nadzieja
(księgowy 0,5 etatu)</t>
  </si>
  <si>
    <t>głubczycki</t>
  </si>
  <si>
    <t>WTZ 
ul. Sobieskiego 5 Głubczyce
(psycholog 0,5 etatu)</t>
  </si>
  <si>
    <t>kluczborski</t>
  </si>
  <si>
    <t>WTZ Caritas Diecezji Opolskiej
(psycholog 0,25 etatu księgowa 0,5 etatu)</t>
  </si>
  <si>
    <t>Opole Miasto</t>
  </si>
  <si>
    <t>WTZ Fundacji DOM w Opolu</t>
  </si>
  <si>
    <t>sokólski</t>
  </si>
  <si>
    <t>Stowarzyszenie Pomocy Szansa WTZ nr 2</t>
  </si>
  <si>
    <t>WTZ "RADOŚĆ Życia" (księgowa 0,5 etatu)</t>
  </si>
  <si>
    <t>WTZ Ustrzyki Dolne
(psycholog 0,25 etatu)</t>
  </si>
  <si>
    <t>jarosławski</t>
  </si>
  <si>
    <t>WTZ PSOUU Koło Jarosław
(psycholog 0,5 etatu księgowa 0,5 etatu)</t>
  </si>
  <si>
    <t>Rzeszów Miasto</t>
  </si>
  <si>
    <t>WTZ DPS ul. Załęska 7a Rzeszów</t>
  </si>
  <si>
    <t>Nazwa stanowiska</t>
  </si>
  <si>
    <t>WTZ 
(psycholog 0,5 etatu)</t>
  </si>
  <si>
    <t>WTZ Lubsko Parafia pw. NNMP 
(księgowa 0,5 psycholog 0,25)</t>
  </si>
  <si>
    <t>WTZ Caritas Archidiecezji Białostockiej 
(księgowa 0,5 etatu)</t>
  </si>
  <si>
    <t>białostocki</t>
  </si>
  <si>
    <t>Gdańsk Miasto</t>
  </si>
  <si>
    <t>Mysłowice Miasto</t>
  </si>
  <si>
    <t>gorlicki</t>
  </si>
  <si>
    <t>tatrzański</t>
  </si>
  <si>
    <t>Tarnów</t>
  </si>
  <si>
    <t>WTZ przy SOSW Tarnów (psycholog 0,5 etatu)</t>
  </si>
  <si>
    <t>WTZ Przystań 
(księgowa 0,75 psycholog 0,25)</t>
  </si>
  <si>
    <t>WTZ "Rodzina" Gorlice 
(pedagog 0,25 etatu, psycholog 0,25 etatu)</t>
  </si>
  <si>
    <t>WTZ Koło w Zakopanem (psycholog 0,5 etatu)</t>
  </si>
  <si>
    <t>instruktor 1</t>
  </si>
  <si>
    <t>instruktor 2</t>
  </si>
  <si>
    <t>instruktor 3</t>
  </si>
  <si>
    <t>instruktor 4</t>
  </si>
  <si>
    <t>instruktor 5</t>
  </si>
  <si>
    <t>instruktor 6</t>
  </si>
  <si>
    <t>Informacja dotycząca średnich miesięcznych wynagrodzeń (brutto) oraz innych wydatków związanych z bieżącą działalnością wtz w latach 2013-2015 (I półrocze)</t>
  </si>
  <si>
    <t>* Analiza została wykonana na próbie losowo wybranych 3 warsztatów z każdego województwa. Ze względu na nieutrzymanie standardu przekazania danych przez samorządy powiatowe. Powyższe dane mogą zawierać błędy.</t>
  </si>
  <si>
    <t>udział wynagrodzeń w ogólnej kwocie wydatków**
(%)</t>
  </si>
  <si>
    <t>28,98 **</t>
  </si>
  <si>
    <t>18,59 **</t>
  </si>
  <si>
    <t>20,37 **</t>
  </si>
  <si>
    <t>33,34 **</t>
  </si>
  <si>
    <t>37,93 **</t>
  </si>
  <si>
    <t>31,37 **</t>
  </si>
  <si>
    <t>28,44 **</t>
  </si>
  <si>
    <t>31,31 **</t>
  </si>
  <si>
    <t>23,10 **</t>
  </si>
  <si>
    <t>24,50 **</t>
  </si>
  <si>
    <t>28,80 **</t>
  </si>
  <si>
    <t>** W danych dotyczących I półrocza 2015 r. oznaczone wtz podały kwotę funduszu wynagrodzeń osobowych brutto do rocznej kwoty preliminarza obejmującej 100% kosztów działalności wtz.</t>
  </si>
  <si>
    <t>średnia ogółem</t>
  </si>
  <si>
    <t>Michał Gadomski, Wydział Ekonomiczno - Finansowy 09.10.2015 r.</t>
  </si>
  <si>
    <t>średnia wysokość kwoty treningu ekonomicznego na 1 uczestnika miesięcznie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</si>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</sst>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1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vertical="center" wrapText="1"/>
    </xf>
    <xf numFmtId="4" fontId="2" fillId="4" borderId="1" xfId="1" applyNumberFormat="1" applyFont="1" applyFill="1" applyBorder="1" applyAlignment="1">
      <alignment horizontal="right" vertical="center" wrapText="1"/>
    </xf>
    <xf numFmtId="4" fontId="2" fillId="6" borderId="1" xfId="1" applyNumberFormat="1" applyFont="1" applyFill="1" applyBorder="1" applyAlignment="1">
      <alignment horizontal="right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vertical="center" wrapText="1"/>
    </xf>
    <xf numFmtId="4" fontId="2" fillId="7" borderId="1" xfId="1" applyNumberFormat="1" applyFont="1" applyFill="1" applyBorder="1" applyAlignment="1">
      <alignment horizontal="right" vertical="center" wrapText="1"/>
    </xf>
    <xf numFmtId="4" fontId="2" fillId="7" borderId="1" xfId="1" applyNumberFormat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 wrapText="1"/>
    </xf>
    <xf numFmtId="4" fontId="2" fillId="7" borderId="1" xfId="1" applyNumberFormat="1" applyFont="1" applyFill="1" applyBorder="1" applyAlignment="1">
      <alignment vertical="center" wrapText="1"/>
    </xf>
    <xf numFmtId="4" fontId="5" fillId="8" borderId="1" xfId="1" applyNumberFormat="1" applyFont="1" applyFill="1" applyBorder="1" applyAlignment="1">
      <alignment horizontal="right" vertical="center" wrapText="1"/>
    </xf>
    <xf numFmtId="164" fontId="5" fillId="8" borderId="1" xfId="1" applyNumberFormat="1" applyFont="1" applyFill="1" applyBorder="1" applyAlignment="1">
      <alignment horizontal="center" vertical="center" wrapText="1"/>
    </xf>
    <xf numFmtId="3" fontId="5" fillId="8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7" borderId="4" xfId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top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FFFF00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8"/>
  <sheetViews>
    <sheetView tabSelected="1" zoomScale="90" zoomScaleNormal="90" workbookViewId="0">
      <pane ySplit="2" topLeftCell="A54" activePane="bottomLeft" state="frozen"/>
      <selection pane="bottomLeft" activeCell="D3" sqref="D3:D4"/>
    </sheetView>
  </sheetViews>
  <sheetFormatPr defaultRowHeight="15.75" customHeight="1" x14ac:dyDescent="0.2"/>
  <cols>
    <col min="1" max="1" width="3.140625" style="1" customWidth="1"/>
    <col min="2" max="2" width="3.5703125" style="1" customWidth="1"/>
    <col min="3" max="3" width="12" style="1" customWidth="1"/>
    <col min="4" max="4" width="17.42578125" style="1" customWidth="1"/>
    <col min="5" max="5" width="4.42578125" style="1" bestFit="1" customWidth="1"/>
    <col min="6" max="6" width="9.28515625" style="2" bestFit="1" customWidth="1"/>
    <col min="7" max="7" width="8.5703125" style="2" customWidth="1"/>
    <col min="8" max="15" width="10" style="2" customWidth="1"/>
    <col min="16" max="16" width="9.140625" style="2" hidden="1" customWidth="1"/>
    <col min="17" max="17" width="12.28515625" style="2" customWidth="1"/>
    <col min="18" max="18" width="8.85546875" style="2" customWidth="1"/>
    <col min="19" max="19" width="11.85546875" style="2" customWidth="1"/>
    <col min="20" max="20" width="0" style="1" hidden="1" customWidth="1"/>
    <col min="21" max="21" width="10.28515625" style="1" hidden="1" customWidth="1"/>
    <col min="22" max="22" width="0.7109375" style="1" hidden="1" customWidth="1"/>
    <col min="23" max="23" width="9.140625" style="1"/>
    <col min="24" max="24" width="0" style="1" hidden="1" customWidth="1"/>
    <col min="25" max="16384" width="9.140625" style="1"/>
  </cols>
  <sheetData>
    <row r="1" spans="1:24" s="32" customFormat="1" ht="15" customHeight="1" x14ac:dyDescent="0.25">
      <c r="C1" s="33"/>
      <c r="N1" s="35" t="s">
        <v>152</v>
      </c>
      <c r="O1" s="35"/>
      <c r="P1" s="35"/>
      <c r="Q1" s="35"/>
      <c r="R1" s="35"/>
      <c r="S1" s="35"/>
      <c r="T1" s="35"/>
      <c r="U1" s="35"/>
    </row>
    <row r="2" spans="1:24" ht="27.75" customHeight="1" x14ac:dyDescent="0.2">
      <c r="A2" s="46" t="s">
        <v>134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4" ht="11.25" customHeight="1" x14ac:dyDescent="0.2">
      <c r="A3" s="47" t="s">
        <v>8</v>
      </c>
      <c r="B3" s="47" t="s">
        <v>7</v>
      </c>
      <c r="C3" s="47" t="s">
        <v>0</v>
      </c>
      <c r="D3" s="47" t="s">
        <v>34</v>
      </c>
      <c r="E3" s="47" t="s">
        <v>33</v>
      </c>
      <c r="F3" s="49" t="s">
        <v>114</v>
      </c>
      <c r="G3" s="50"/>
      <c r="H3" s="50"/>
      <c r="I3" s="50"/>
      <c r="J3" s="50"/>
      <c r="K3" s="50"/>
      <c r="L3" s="50"/>
      <c r="M3" s="50"/>
      <c r="N3" s="50"/>
      <c r="O3" s="51"/>
      <c r="P3" s="44" t="s">
        <v>35</v>
      </c>
      <c r="Q3" s="44" t="s">
        <v>151</v>
      </c>
      <c r="R3" s="44" t="s">
        <v>32</v>
      </c>
      <c r="S3" s="44" t="s">
        <v>136</v>
      </c>
      <c r="T3" s="44" t="s">
        <v>10</v>
      </c>
      <c r="U3" s="44" t="s">
        <v>11</v>
      </c>
      <c r="V3" s="44" t="s">
        <v>12</v>
      </c>
    </row>
    <row r="4" spans="1:24" s="4" customFormat="1" ht="65.25" customHeight="1" x14ac:dyDescent="0.25">
      <c r="A4" s="48"/>
      <c r="B4" s="48"/>
      <c r="C4" s="48"/>
      <c r="D4" s="48"/>
      <c r="E4" s="48"/>
      <c r="F4" s="34" t="s">
        <v>29</v>
      </c>
      <c r="G4" s="34" t="s">
        <v>31</v>
      </c>
      <c r="H4" s="34" t="s">
        <v>30</v>
      </c>
      <c r="I4" s="34" t="s">
        <v>36</v>
      </c>
      <c r="J4" s="34" t="s">
        <v>128</v>
      </c>
      <c r="K4" s="34" t="s">
        <v>129</v>
      </c>
      <c r="L4" s="34" t="s">
        <v>130</v>
      </c>
      <c r="M4" s="34" t="s">
        <v>131</v>
      </c>
      <c r="N4" s="34" t="s">
        <v>132</v>
      </c>
      <c r="O4" s="34" t="s">
        <v>133</v>
      </c>
      <c r="P4" s="45"/>
      <c r="Q4" s="45"/>
      <c r="R4" s="45"/>
      <c r="S4" s="45"/>
      <c r="T4" s="45"/>
      <c r="U4" s="45"/>
      <c r="V4" s="45"/>
    </row>
    <row r="5" spans="1:24" s="3" customFormat="1" ht="12.75" customHeight="1" x14ac:dyDescent="0.2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8"/>
      <c r="U5" s="11"/>
      <c r="V5" s="11"/>
      <c r="W5" s="9"/>
      <c r="X5" s="10"/>
    </row>
    <row r="6" spans="1:24" s="3" customFormat="1" ht="12.75" customHeight="1" x14ac:dyDescent="0.25">
      <c r="A6" s="41">
        <v>1</v>
      </c>
      <c r="B6" s="41">
        <v>1</v>
      </c>
      <c r="C6" s="41" t="s">
        <v>37</v>
      </c>
      <c r="D6" s="41" t="s">
        <v>38</v>
      </c>
      <c r="E6" s="5">
        <v>2013</v>
      </c>
      <c r="F6" s="16">
        <f>55211.56/12</f>
        <v>4600.9633333333331</v>
      </c>
      <c r="G6" s="16">
        <f>36949.57/12</f>
        <v>3079.1308333333332</v>
      </c>
      <c r="H6" s="16">
        <f>28653.69/12</f>
        <v>2387.8074999999999</v>
      </c>
      <c r="I6" s="17" t="s">
        <v>9</v>
      </c>
      <c r="J6" s="16">
        <f>28352.32/12</f>
        <v>2362.6933333333332</v>
      </c>
      <c r="K6" s="16">
        <f>31408.6/12</f>
        <v>2617.3833333333332</v>
      </c>
      <c r="L6" s="16">
        <f>28688.96/12</f>
        <v>2390.7466666666664</v>
      </c>
      <c r="M6" s="16">
        <f>28326.8/12</f>
        <v>2360.5666666666666</v>
      </c>
      <c r="N6" s="16">
        <f>26166.08/12</f>
        <v>2180.5066666666667</v>
      </c>
      <c r="O6" s="16">
        <f>25633.45/12</f>
        <v>2136.1208333333334</v>
      </c>
      <c r="P6" s="21">
        <f>AVERAGE(F6:O6)</f>
        <v>2679.5465740740742</v>
      </c>
      <c r="Q6" s="22">
        <f>972.57/12</f>
        <v>81.047499999999999</v>
      </c>
      <c r="R6" s="19">
        <v>35</v>
      </c>
      <c r="S6" s="16">
        <v>59.8</v>
      </c>
      <c r="T6" s="18" t="e">
        <f>#REF!/S6/6</f>
        <v>#REF!</v>
      </c>
      <c r="U6" s="11" t="e">
        <f>100-#REF!</f>
        <v>#REF!</v>
      </c>
      <c r="V6" s="11" t="e">
        <f>U6*6</f>
        <v>#REF!</v>
      </c>
      <c r="W6" s="9"/>
      <c r="X6" s="10" t="e">
        <f>#REF!+U6</f>
        <v>#REF!</v>
      </c>
    </row>
    <row r="7" spans="1:24" s="3" customFormat="1" ht="12.75" customHeight="1" x14ac:dyDescent="0.25">
      <c r="A7" s="41"/>
      <c r="B7" s="41"/>
      <c r="C7" s="41"/>
      <c r="D7" s="41"/>
      <c r="E7" s="5">
        <v>2014</v>
      </c>
      <c r="F7" s="16">
        <f>52594.19/12</f>
        <v>4382.8491666666669</v>
      </c>
      <c r="G7" s="16">
        <f>32120/12</f>
        <v>2676.6666666666665</v>
      </c>
      <c r="H7" s="16">
        <f>28619.14/12</f>
        <v>2384.9283333333333</v>
      </c>
      <c r="I7" s="17" t="s">
        <v>9</v>
      </c>
      <c r="J7" s="16">
        <f>28098.64/12</f>
        <v>2341.5533333333333</v>
      </c>
      <c r="K7" s="16">
        <f>26846.46/12</f>
        <v>2237.2049999999999</v>
      </c>
      <c r="L7" s="16">
        <f>27802.46/12</f>
        <v>2316.8716666666664</v>
      </c>
      <c r="M7" s="16">
        <f>28670/12</f>
        <v>2389.1666666666665</v>
      </c>
      <c r="N7" s="16">
        <f>27234.93/12</f>
        <v>2269.5774999999999</v>
      </c>
      <c r="O7" s="16">
        <f>26782.47/12</f>
        <v>2231.8724999999999</v>
      </c>
      <c r="P7" s="21">
        <f t="shared" ref="P7:P14" si="0">AVERAGE(F7:O7)</f>
        <v>2581.1878703703705</v>
      </c>
      <c r="Q7" s="22">
        <f>933.14/12</f>
        <v>77.76166666666667</v>
      </c>
      <c r="R7" s="19">
        <v>35</v>
      </c>
      <c r="S7" s="16">
        <v>58.48</v>
      </c>
      <c r="T7" s="18"/>
      <c r="U7" s="11"/>
      <c r="V7" s="11"/>
      <c r="W7" s="9"/>
      <c r="X7" s="10"/>
    </row>
    <row r="8" spans="1:24" s="3" customFormat="1" ht="12.75" customHeight="1" x14ac:dyDescent="0.25">
      <c r="A8" s="41"/>
      <c r="B8" s="41"/>
      <c r="C8" s="41"/>
      <c r="D8" s="41"/>
      <c r="E8" s="5">
        <v>2015</v>
      </c>
      <c r="F8" s="16">
        <f>27050/6</f>
        <v>4508.333333333333</v>
      </c>
      <c r="G8" s="16">
        <f>22790/6</f>
        <v>3798.3333333333335</v>
      </c>
      <c r="H8" s="16">
        <f>14495.62/6</f>
        <v>2415.936666666667</v>
      </c>
      <c r="I8" s="17" t="s">
        <v>9</v>
      </c>
      <c r="J8" s="16">
        <f>13620/6</f>
        <v>2270</v>
      </c>
      <c r="K8" s="16">
        <f>13655/6</f>
        <v>2275.8333333333335</v>
      </c>
      <c r="L8" s="16">
        <f>13483.55/6</f>
        <v>2247.2583333333332</v>
      </c>
      <c r="M8" s="16">
        <f>11959.17/6</f>
        <v>1993.1949999999999</v>
      </c>
      <c r="N8" s="16">
        <f>12564.32/6</f>
        <v>2094.0533333333333</v>
      </c>
      <c r="O8" s="16">
        <f>12134.2/6</f>
        <v>2022.3666666666668</v>
      </c>
      <c r="P8" s="21">
        <f t="shared" si="0"/>
        <v>2625.034444444444</v>
      </c>
      <c r="Q8" s="22">
        <f>375.14/6</f>
        <v>62.523333333333333</v>
      </c>
      <c r="R8" s="19">
        <v>35</v>
      </c>
      <c r="S8" s="16" t="s">
        <v>137</v>
      </c>
      <c r="T8" s="18"/>
      <c r="U8" s="11"/>
      <c r="V8" s="11"/>
      <c r="W8" s="9"/>
      <c r="X8" s="10"/>
    </row>
    <row r="9" spans="1:24" s="3" customFormat="1" ht="15" customHeight="1" x14ac:dyDescent="0.25">
      <c r="A9" s="41">
        <v>2</v>
      </c>
      <c r="B9" s="41">
        <v>16</v>
      </c>
      <c r="C9" s="41" t="s">
        <v>61</v>
      </c>
      <c r="D9" s="41" t="s">
        <v>88</v>
      </c>
      <c r="E9" s="5">
        <v>2013</v>
      </c>
      <c r="F9" s="16">
        <f>67874.52/12</f>
        <v>5656.21</v>
      </c>
      <c r="G9" s="16">
        <f>48642.95/12</f>
        <v>4053.5791666666664</v>
      </c>
      <c r="H9" s="17" t="s">
        <v>9</v>
      </c>
      <c r="I9" s="16">
        <f>10024.08/12</f>
        <v>835.34</v>
      </c>
      <c r="J9" s="16">
        <f>35300.55/12</f>
        <v>2941.7125000000001</v>
      </c>
      <c r="K9" s="16">
        <f>28885.12/12</f>
        <v>2407.0933333333332</v>
      </c>
      <c r="L9" s="16">
        <f>33733.21/12</f>
        <v>2811.1008333333334</v>
      </c>
      <c r="M9" s="16">
        <f>29755.8/12</f>
        <v>2479.65</v>
      </c>
      <c r="N9" s="16">
        <f>37241.38/12</f>
        <v>3103.4483333333333</v>
      </c>
      <c r="O9" s="17" t="s">
        <v>9</v>
      </c>
      <c r="P9" s="21">
        <f t="shared" si="0"/>
        <v>3036.0167708333333</v>
      </c>
      <c r="Q9" s="22">
        <v>84.82</v>
      </c>
      <c r="R9" s="19">
        <v>30</v>
      </c>
      <c r="S9" s="16">
        <v>63.79</v>
      </c>
      <c r="T9" s="18"/>
      <c r="U9" s="11"/>
      <c r="V9" s="11"/>
      <c r="W9" s="9"/>
      <c r="X9" s="10"/>
    </row>
    <row r="10" spans="1:24" s="3" customFormat="1" ht="15" customHeight="1" x14ac:dyDescent="0.25">
      <c r="A10" s="41"/>
      <c r="B10" s="41"/>
      <c r="C10" s="41"/>
      <c r="D10" s="41"/>
      <c r="E10" s="5">
        <v>2014</v>
      </c>
      <c r="F10" s="16">
        <f>68086.46/12</f>
        <v>5673.8716666666669</v>
      </c>
      <c r="G10" s="16">
        <f>53503.12/12</f>
        <v>4458.5933333333332</v>
      </c>
      <c r="H10" s="17" t="s">
        <v>9</v>
      </c>
      <c r="I10" s="16">
        <f>10481.42/12</f>
        <v>873.45166666666671</v>
      </c>
      <c r="J10" s="16">
        <f>34153.13/12</f>
        <v>2846.0941666666663</v>
      </c>
      <c r="K10" s="16">
        <f>32386.39/12</f>
        <v>2698.8658333333333</v>
      </c>
      <c r="L10" s="16">
        <f>33860.92/12</f>
        <v>2821.7433333333333</v>
      </c>
      <c r="M10" s="16">
        <f>28782.34/12</f>
        <v>2398.5283333333332</v>
      </c>
      <c r="N10" s="16">
        <f>38014.33/12</f>
        <v>3167.8608333333336</v>
      </c>
      <c r="O10" s="17" t="s">
        <v>9</v>
      </c>
      <c r="P10" s="21">
        <f t="shared" si="0"/>
        <v>3117.3761458333324</v>
      </c>
      <c r="Q10" s="22">
        <v>81.53</v>
      </c>
      <c r="R10" s="19">
        <v>30</v>
      </c>
      <c r="S10" s="16">
        <v>65.53</v>
      </c>
      <c r="T10" s="18"/>
      <c r="U10" s="11"/>
      <c r="V10" s="11"/>
      <c r="W10" s="9"/>
      <c r="X10" s="10"/>
    </row>
    <row r="11" spans="1:24" s="3" customFormat="1" ht="15" customHeight="1" x14ac:dyDescent="0.25">
      <c r="A11" s="41"/>
      <c r="B11" s="41"/>
      <c r="C11" s="41"/>
      <c r="D11" s="41"/>
      <c r="E11" s="5">
        <v>2015</v>
      </c>
      <c r="F11" s="16">
        <f>30125.67/6</f>
        <v>5020.9449999999997</v>
      </c>
      <c r="G11" s="16">
        <f>21470.32/6</f>
        <v>3578.3866666666668</v>
      </c>
      <c r="H11" s="17" t="s">
        <v>9</v>
      </c>
      <c r="I11" s="16">
        <f>6495.63/6</f>
        <v>1082.605</v>
      </c>
      <c r="J11" s="16">
        <f>17602/6</f>
        <v>2933.6666666666665</v>
      </c>
      <c r="K11" s="16">
        <f>15485.12/6</f>
        <v>2580.8533333333335</v>
      </c>
      <c r="L11" s="16">
        <f>16215.71/6</f>
        <v>2702.6183333333333</v>
      </c>
      <c r="M11" s="16">
        <f>12305.8/6</f>
        <v>2050.9666666666667</v>
      </c>
      <c r="N11" s="16">
        <f>15853.78/6</f>
        <v>2642.2966666666666</v>
      </c>
      <c r="O11" s="17" t="s">
        <v>9</v>
      </c>
      <c r="P11" s="21">
        <f t="shared" si="0"/>
        <v>2824.0422916666662</v>
      </c>
      <c r="Q11" s="22">
        <v>79.13</v>
      </c>
      <c r="R11" s="19">
        <v>30</v>
      </c>
      <c r="S11" s="16">
        <v>55.63</v>
      </c>
      <c r="T11" s="18"/>
      <c r="U11" s="11"/>
      <c r="V11" s="11"/>
      <c r="W11" s="9"/>
      <c r="X11" s="10"/>
    </row>
    <row r="12" spans="1:24" s="3" customFormat="1" ht="18.75" customHeight="1" x14ac:dyDescent="0.25">
      <c r="A12" s="41">
        <v>3</v>
      </c>
      <c r="B12" s="41">
        <v>29</v>
      </c>
      <c r="C12" s="41" t="s">
        <v>62</v>
      </c>
      <c r="D12" s="41" t="s">
        <v>63</v>
      </c>
      <c r="E12" s="5">
        <v>2013</v>
      </c>
      <c r="F12" s="16">
        <f>33930/12</f>
        <v>2827.5</v>
      </c>
      <c r="G12" s="16">
        <f>23184.36/12</f>
        <v>1932.03</v>
      </c>
      <c r="H12" s="17" t="s">
        <v>9</v>
      </c>
      <c r="I12" s="17" t="s">
        <v>9</v>
      </c>
      <c r="J12" s="16">
        <f>27002.87/12</f>
        <v>2250.2391666666667</v>
      </c>
      <c r="K12" s="16">
        <f>24771.64/12</f>
        <v>2064.3033333333333</v>
      </c>
      <c r="L12" s="16">
        <f>25055.93/12</f>
        <v>2087.9941666666668</v>
      </c>
      <c r="M12" s="16">
        <f>27865.93/12</f>
        <v>2322.1608333333334</v>
      </c>
      <c r="N12" s="17" t="s">
        <v>9</v>
      </c>
      <c r="O12" s="17" t="s">
        <v>9</v>
      </c>
      <c r="P12" s="21">
        <f t="shared" si="0"/>
        <v>2247.3712500000001</v>
      </c>
      <c r="Q12" s="22">
        <f>230.5/11</f>
        <v>20.954545454545453</v>
      </c>
      <c r="R12" s="19">
        <v>30</v>
      </c>
      <c r="S12" s="16">
        <v>40.28</v>
      </c>
      <c r="T12" s="18"/>
      <c r="U12" s="11"/>
      <c r="V12" s="11"/>
      <c r="W12" s="9"/>
      <c r="X12" s="10"/>
    </row>
    <row r="13" spans="1:24" s="3" customFormat="1" ht="18.75" customHeight="1" x14ac:dyDescent="0.25">
      <c r="A13" s="41"/>
      <c r="B13" s="41"/>
      <c r="C13" s="41"/>
      <c r="D13" s="41"/>
      <c r="E13" s="5">
        <v>2014</v>
      </c>
      <c r="F13" s="16">
        <f>34320/12</f>
        <v>2860</v>
      </c>
      <c r="G13" s="16">
        <f>22416.97/12</f>
        <v>1868.0808333333334</v>
      </c>
      <c r="H13" s="17" t="s">
        <v>9</v>
      </c>
      <c r="I13" s="17" t="s">
        <v>9</v>
      </c>
      <c r="J13" s="16">
        <f>19646.23/12</f>
        <v>1637.1858333333332</v>
      </c>
      <c r="K13" s="16">
        <f>26366.61/12</f>
        <v>2197.2175000000002</v>
      </c>
      <c r="L13" s="16">
        <f>26501.08/12</f>
        <v>2208.4233333333336</v>
      </c>
      <c r="M13" s="16">
        <f>28705.13/12</f>
        <v>2392.0941666666668</v>
      </c>
      <c r="N13" s="17" t="s">
        <v>9</v>
      </c>
      <c r="O13" s="17" t="s">
        <v>9</v>
      </c>
      <c r="P13" s="21">
        <f t="shared" si="0"/>
        <v>2193.8336111111112</v>
      </c>
      <c r="Q13" s="22">
        <f>229.71/11</f>
        <v>20.882727272727273</v>
      </c>
      <c r="R13" s="19">
        <v>30</v>
      </c>
      <c r="S13" s="16">
        <v>40.61</v>
      </c>
      <c r="T13" s="18"/>
      <c r="U13" s="11"/>
      <c r="V13" s="11"/>
      <c r="W13" s="9"/>
      <c r="X13" s="10"/>
    </row>
    <row r="14" spans="1:24" s="3" customFormat="1" ht="18.75" customHeight="1" x14ac:dyDescent="0.25">
      <c r="A14" s="41"/>
      <c r="B14" s="41"/>
      <c r="C14" s="41"/>
      <c r="D14" s="41"/>
      <c r="E14" s="5">
        <v>2015</v>
      </c>
      <c r="F14" s="16">
        <f>20020/6</f>
        <v>3336.6666666666665</v>
      </c>
      <c r="G14" s="16">
        <f>10795/6</f>
        <v>1799.1666666666667</v>
      </c>
      <c r="H14" s="17" t="s">
        <v>9</v>
      </c>
      <c r="I14" s="17" t="s">
        <v>9</v>
      </c>
      <c r="J14" s="16">
        <f>12388.01/6</f>
        <v>2064.6683333333335</v>
      </c>
      <c r="K14" s="16">
        <f>12726/6</f>
        <v>2121</v>
      </c>
      <c r="L14" s="16">
        <f>12865.39/6</f>
        <v>2144.2316666666666</v>
      </c>
      <c r="M14" s="16">
        <f>12656.39/6</f>
        <v>2109.3983333333331</v>
      </c>
      <c r="N14" s="17" t="s">
        <v>9</v>
      </c>
      <c r="O14" s="17" t="s">
        <v>9</v>
      </c>
      <c r="P14" s="21">
        <f t="shared" si="0"/>
        <v>2262.5219444444442</v>
      </c>
      <c r="Q14" s="22">
        <f>140.15/6</f>
        <v>23.358333333333334</v>
      </c>
      <c r="R14" s="19">
        <v>30</v>
      </c>
      <c r="S14" s="16" t="s">
        <v>138</v>
      </c>
      <c r="T14" s="18"/>
      <c r="U14" s="11"/>
      <c r="V14" s="11"/>
      <c r="W14" s="9"/>
      <c r="X14" s="10"/>
    </row>
    <row r="15" spans="1:24" s="3" customFormat="1" ht="18.75" customHeight="1" x14ac:dyDescent="0.25">
      <c r="A15" s="36" t="s">
        <v>35</v>
      </c>
      <c r="B15" s="37"/>
      <c r="C15" s="37"/>
      <c r="D15" s="37"/>
      <c r="E15" s="38"/>
      <c r="F15" s="25">
        <f>AVERAGE(F6:F14)</f>
        <v>4318.5932407407408</v>
      </c>
      <c r="G15" s="26" t="s">
        <v>9</v>
      </c>
      <c r="H15" s="26" t="s">
        <v>9</v>
      </c>
      <c r="I15" s="26" t="s">
        <v>9</v>
      </c>
      <c r="J15" s="25">
        <f>AVERAGE(J6:J14)</f>
        <v>2405.3125925925924</v>
      </c>
      <c r="K15" s="25">
        <f t="shared" ref="K15:O15" si="1">AVERAGE(K6:K14)</f>
        <v>2355.5283333333332</v>
      </c>
      <c r="L15" s="25">
        <f t="shared" si="1"/>
        <v>2414.5542592592592</v>
      </c>
      <c r="M15" s="25">
        <f t="shared" si="1"/>
        <v>2277.3029629629632</v>
      </c>
      <c r="N15" s="25">
        <f t="shared" si="1"/>
        <v>2576.2905555555558</v>
      </c>
      <c r="O15" s="25">
        <f t="shared" si="1"/>
        <v>2130.1200000000003</v>
      </c>
      <c r="P15" s="26" t="s">
        <v>9</v>
      </c>
      <c r="Q15" s="26" t="s">
        <v>9</v>
      </c>
      <c r="R15" s="27" t="s">
        <v>9</v>
      </c>
      <c r="S15" s="26" t="s">
        <v>9</v>
      </c>
      <c r="T15" s="18"/>
      <c r="U15" s="11"/>
      <c r="V15" s="11"/>
      <c r="W15" s="9"/>
      <c r="X15" s="10"/>
    </row>
    <row r="16" spans="1:24" s="3" customFormat="1" ht="12.75" customHeight="1" x14ac:dyDescent="0.25">
      <c r="A16" s="43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18"/>
      <c r="U16" s="11"/>
      <c r="V16" s="11"/>
      <c r="W16" s="9"/>
      <c r="X16" s="10"/>
    </row>
    <row r="17" spans="1:24" s="3" customFormat="1" ht="12.75" customHeight="1" x14ac:dyDescent="0.25">
      <c r="A17" s="41">
        <v>1</v>
      </c>
      <c r="B17" s="41">
        <v>39</v>
      </c>
      <c r="C17" s="41" t="s">
        <v>47</v>
      </c>
      <c r="D17" s="41" t="s">
        <v>48</v>
      </c>
      <c r="E17" s="5">
        <v>2013</v>
      </c>
      <c r="F17" s="16">
        <f>41016.34/12</f>
        <v>3418.0283333333332</v>
      </c>
      <c r="G17" s="17" t="s">
        <v>9</v>
      </c>
      <c r="H17" s="17" t="s">
        <v>9</v>
      </c>
      <c r="I17" s="17" t="s">
        <v>9</v>
      </c>
      <c r="J17" s="16">
        <f>19879.39/12</f>
        <v>1656.6158333333333</v>
      </c>
      <c r="K17" s="16">
        <f>20801.1/12</f>
        <v>1733.425</v>
      </c>
      <c r="L17" s="16">
        <f>18506.97/12</f>
        <v>1542.2475000000002</v>
      </c>
      <c r="M17" s="16">
        <f>19095.46/12</f>
        <v>1591.2883333333332</v>
      </c>
      <c r="N17" s="16">
        <f>19710.76/12</f>
        <v>1642.5633333333333</v>
      </c>
      <c r="O17" s="17" t="s">
        <v>9</v>
      </c>
      <c r="P17" s="21">
        <f t="shared" ref="P17:P25" si="2">AVERAGE(F17:O17)</f>
        <v>1930.6947222222225</v>
      </c>
      <c r="Q17" s="22">
        <f>623.33/12</f>
        <v>51.944166666666668</v>
      </c>
      <c r="R17" s="19">
        <v>30</v>
      </c>
      <c r="S17" s="16">
        <v>43.64</v>
      </c>
      <c r="T17" s="18"/>
      <c r="U17" s="11"/>
      <c r="V17" s="11"/>
      <c r="W17" s="9"/>
      <c r="X17" s="10"/>
    </row>
    <row r="18" spans="1:24" s="3" customFormat="1" ht="12.75" customHeight="1" x14ac:dyDescent="0.25">
      <c r="A18" s="41"/>
      <c r="B18" s="41"/>
      <c r="C18" s="41"/>
      <c r="D18" s="41"/>
      <c r="E18" s="5">
        <v>2014</v>
      </c>
      <c r="F18" s="16">
        <f>43918.12/12</f>
        <v>3659.8433333333337</v>
      </c>
      <c r="G18" s="17" t="s">
        <v>9</v>
      </c>
      <c r="H18" s="17" t="s">
        <v>9</v>
      </c>
      <c r="I18" s="17" t="s">
        <v>9</v>
      </c>
      <c r="J18" s="16">
        <f>22314.39/12</f>
        <v>1859.5325</v>
      </c>
      <c r="K18" s="16">
        <f>22473.5/12</f>
        <v>1872.7916666666667</v>
      </c>
      <c r="L18" s="16">
        <f>16781.22/12</f>
        <v>1398.4350000000002</v>
      </c>
      <c r="M18" s="16">
        <f>22079.54/12</f>
        <v>1839.9616666666668</v>
      </c>
      <c r="N18" s="16">
        <f>23873.55/12</f>
        <v>1989.4624999999999</v>
      </c>
      <c r="O18" s="17" t="s">
        <v>9</v>
      </c>
      <c r="P18" s="21">
        <f t="shared" si="2"/>
        <v>2103.3377777777778</v>
      </c>
      <c r="Q18" s="22">
        <f>640/12</f>
        <v>53.333333333333336</v>
      </c>
      <c r="R18" s="19">
        <v>30</v>
      </c>
      <c r="S18" s="16">
        <v>44.25</v>
      </c>
      <c r="T18" s="18" t="e">
        <f>#REF!/#REF!/6</f>
        <v>#REF!</v>
      </c>
      <c r="U18" s="11" t="e">
        <f>100-#REF!</f>
        <v>#REF!</v>
      </c>
      <c r="V18" s="11" t="e">
        <f t="shared" ref="V18:V148" si="3">U18*6</f>
        <v>#REF!</v>
      </c>
      <c r="W18" s="9"/>
      <c r="X18" s="10" t="e">
        <f>#REF!+U18</f>
        <v>#REF!</v>
      </c>
    </row>
    <row r="19" spans="1:24" s="3" customFormat="1" ht="12.75" customHeight="1" x14ac:dyDescent="0.25">
      <c r="A19" s="41"/>
      <c r="B19" s="41"/>
      <c r="C19" s="41"/>
      <c r="D19" s="41"/>
      <c r="E19" s="5">
        <v>2015</v>
      </c>
      <c r="F19" s="16">
        <f>21298.74/6</f>
        <v>3549.7900000000004</v>
      </c>
      <c r="G19" s="17" t="s">
        <v>9</v>
      </c>
      <c r="H19" s="17" t="s">
        <v>9</v>
      </c>
      <c r="I19" s="17" t="s">
        <v>9</v>
      </c>
      <c r="J19" s="16">
        <f>10146/6</f>
        <v>1691</v>
      </c>
      <c r="K19" s="16">
        <f>10760.54/6</f>
        <v>1793.4233333333334</v>
      </c>
      <c r="L19" s="16">
        <f>8341.66/6</f>
        <v>1390.2766666666666</v>
      </c>
      <c r="M19" s="16">
        <f>10564.38/6</f>
        <v>1760.7299999999998</v>
      </c>
      <c r="N19" s="16">
        <f>11358.47/6</f>
        <v>1893.0783333333331</v>
      </c>
      <c r="O19" s="17" t="s">
        <v>9</v>
      </c>
      <c r="P19" s="21">
        <f t="shared" si="2"/>
        <v>2013.0497222222223</v>
      </c>
      <c r="Q19" s="22">
        <f>304.07/6</f>
        <v>50.678333333333335</v>
      </c>
      <c r="R19" s="19">
        <v>30</v>
      </c>
      <c r="S19" s="16" t="s">
        <v>139</v>
      </c>
      <c r="T19" s="18"/>
      <c r="U19" s="11"/>
      <c r="V19" s="11"/>
      <c r="W19" s="9"/>
      <c r="X19" s="10"/>
    </row>
    <row r="20" spans="1:24" s="3" customFormat="1" ht="12.75" customHeight="1" x14ac:dyDescent="0.25">
      <c r="A20" s="41">
        <v>2</v>
      </c>
      <c r="B20" s="41">
        <v>40</v>
      </c>
      <c r="C20" s="41" t="s">
        <v>49</v>
      </c>
      <c r="D20" s="41" t="s">
        <v>50</v>
      </c>
      <c r="E20" s="5">
        <v>2013</v>
      </c>
      <c r="F20" s="16">
        <f>45988.92/12</f>
        <v>3832.41</v>
      </c>
      <c r="G20" s="16">
        <f>37117.25/12</f>
        <v>3093.1041666666665</v>
      </c>
      <c r="H20" s="17" t="s">
        <v>9</v>
      </c>
      <c r="I20" s="17" t="s">
        <v>9</v>
      </c>
      <c r="J20" s="16">
        <f>25737.9/12</f>
        <v>2144.8250000000003</v>
      </c>
      <c r="K20" s="16">
        <f>26506.91/12</f>
        <v>2208.9091666666668</v>
      </c>
      <c r="L20" s="16">
        <f>26085.11/12</f>
        <v>2173.7591666666667</v>
      </c>
      <c r="M20" s="17" t="s">
        <v>9</v>
      </c>
      <c r="N20" s="17" t="s">
        <v>9</v>
      </c>
      <c r="O20" s="17" t="s">
        <v>9</v>
      </c>
      <c r="P20" s="21">
        <f t="shared" si="2"/>
        <v>2690.6014999999998</v>
      </c>
      <c r="Q20" s="22">
        <f>254/12</f>
        <v>21.166666666666668</v>
      </c>
      <c r="R20" s="19">
        <v>20</v>
      </c>
      <c r="S20" s="17" t="s">
        <v>9</v>
      </c>
      <c r="T20" s="18"/>
      <c r="U20" s="11"/>
      <c r="V20" s="11"/>
      <c r="W20" s="9"/>
      <c r="X20" s="10"/>
    </row>
    <row r="21" spans="1:24" s="3" customFormat="1" ht="12.75" customHeight="1" x14ac:dyDescent="0.25">
      <c r="A21" s="41"/>
      <c r="B21" s="41"/>
      <c r="C21" s="41"/>
      <c r="D21" s="41"/>
      <c r="E21" s="5">
        <v>2014</v>
      </c>
      <c r="F21" s="16">
        <f>45478.12/12</f>
        <v>3789.8433333333337</v>
      </c>
      <c r="G21" s="16">
        <f>38631.37/12</f>
        <v>3219.2808333333337</v>
      </c>
      <c r="H21" s="17" t="s">
        <v>9</v>
      </c>
      <c r="I21" s="17" t="s">
        <v>9</v>
      </c>
      <c r="J21" s="16">
        <f>25888.63/12</f>
        <v>2157.3858333333333</v>
      </c>
      <c r="K21" s="16">
        <f>26544.08/12</f>
        <v>2212.0066666666667</v>
      </c>
      <c r="L21" s="16">
        <f>26379.95/12</f>
        <v>2198.3291666666669</v>
      </c>
      <c r="M21" s="17" t="s">
        <v>9</v>
      </c>
      <c r="N21" s="17" t="s">
        <v>9</v>
      </c>
      <c r="O21" s="17" t="s">
        <v>9</v>
      </c>
      <c r="P21" s="21">
        <f t="shared" si="2"/>
        <v>2715.3691666666664</v>
      </c>
      <c r="Q21" s="22">
        <f>275/12</f>
        <v>22.916666666666668</v>
      </c>
      <c r="R21" s="19">
        <v>20</v>
      </c>
      <c r="S21" s="17" t="s">
        <v>9</v>
      </c>
      <c r="T21" s="18" t="e">
        <f>#REF!/#REF!/6</f>
        <v>#REF!</v>
      </c>
      <c r="U21" s="11" t="e">
        <f>100-#REF!</f>
        <v>#REF!</v>
      </c>
      <c r="V21" s="11" t="e">
        <f t="shared" si="3"/>
        <v>#REF!</v>
      </c>
      <c r="W21" s="9"/>
      <c r="X21" s="10" t="e">
        <f>#REF!+U21</f>
        <v>#REF!</v>
      </c>
    </row>
    <row r="22" spans="1:24" s="3" customFormat="1" ht="11.25" x14ac:dyDescent="0.25">
      <c r="A22" s="41"/>
      <c r="B22" s="41"/>
      <c r="C22" s="41"/>
      <c r="D22" s="41"/>
      <c r="E22" s="5">
        <v>2015</v>
      </c>
      <c r="F22" s="16">
        <f>27820.28/6</f>
        <v>4636.7133333333331</v>
      </c>
      <c r="G22" s="16">
        <f>18785.5/6</f>
        <v>3130.9166666666665</v>
      </c>
      <c r="H22" s="17" t="s">
        <v>9</v>
      </c>
      <c r="I22" s="17" t="s">
        <v>9</v>
      </c>
      <c r="J22" s="16">
        <f>11630.93/6</f>
        <v>1938.4883333333335</v>
      </c>
      <c r="K22" s="16">
        <f>12954.08/6</f>
        <v>2159.0133333333333</v>
      </c>
      <c r="L22" s="16">
        <f>12935.71/6</f>
        <v>2155.9516666666664</v>
      </c>
      <c r="M22" s="17" t="s">
        <v>9</v>
      </c>
      <c r="N22" s="17" t="s">
        <v>9</v>
      </c>
      <c r="O22" s="17" t="s">
        <v>9</v>
      </c>
      <c r="P22" s="21">
        <f t="shared" si="2"/>
        <v>2804.2166666666662</v>
      </c>
      <c r="Q22" s="22">
        <f>148.75/6</f>
        <v>24.791666666666668</v>
      </c>
      <c r="R22" s="19">
        <v>20</v>
      </c>
      <c r="S22" s="17" t="s">
        <v>9</v>
      </c>
      <c r="T22" s="18" t="e">
        <f>#REF!/#REF!/6</f>
        <v>#REF!</v>
      </c>
      <c r="U22" s="11" t="e">
        <f>100-#REF!</f>
        <v>#REF!</v>
      </c>
      <c r="V22" s="11" t="e">
        <f t="shared" si="3"/>
        <v>#REF!</v>
      </c>
      <c r="W22" s="9"/>
      <c r="X22" s="10" t="e">
        <f>#REF!+U22</f>
        <v>#REF!</v>
      </c>
    </row>
    <row r="23" spans="1:24" s="3" customFormat="1" ht="12.75" customHeight="1" x14ac:dyDescent="0.25">
      <c r="A23" s="41">
        <v>3</v>
      </c>
      <c r="B23" s="41">
        <v>51</v>
      </c>
      <c r="C23" s="41" t="s">
        <v>1</v>
      </c>
      <c r="D23" s="41" t="s">
        <v>51</v>
      </c>
      <c r="E23" s="5">
        <v>2013</v>
      </c>
      <c r="F23" s="16">
        <f>67561.59/12</f>
        <v>5630.1324999999997</v>
      </c>
      <c r="G23" s="16">
        <f>42133.18/12</f>
        <v>3511.0983333333334</v>
      </c>
      <c r="H23" s="17" t="s">
        <v>9</v>
      </c>
      <c r="I23" s="16">
        <f>31893.46/12</f>
        <v>2657.7883333333334</v>
      </c>
      <c r="J23" s="16">
        <f>32267/12</f>
        <v>2688.9166666666665</v>
      </c>
      <c r="K23" s="16">
        <f>35010.73/12</f>
        <v>2917.5608333333334</v>
      </c>
      <c r="L23" s="16">
        <f>36376.03/12</f>
        <v>3031.3358333333331</v>
      </c>
      <c r="M23" s="16">
        <f>31109.8/12</f>
        <v>2592.4833333333331</v>
      </c>
      <c r="N23" s="16">
        <f>41115.71/12</f>
        <v>3426.3091666666664</v>
      </c>
      <c r="O23" s="16">
        <f>40772.7/12</f>
        <v>3397.7249999999999</v>
      </c>
      <c r="P23" s="21">
        <f t="shared" si="2"/>
        <v>3317.0388888888888</v>
      </c>
      <c r="Q23" s="22">
        <v>50</v>
      </c>
      <c r="R23" s="19">
        <v>85</v>
      </c>
      <c r="S23" s="16">
        <v>60.29</v>
      </c>
      <c r="T23" s="18" t="e">
        <f>#REF!/#REF!/6</f>
        <v>#REF!</v>
      </c>
      <c r="U23" s="11" t="e">
        <f>100-#REF!</f>
        <v>#REF!</v>
      </c>
      <c r="V23" s="11" t="e">
        <f t="shared" si="3"/>
        <v>#REF!</v>
      </c>
      <c r="W23" s="9"/>
      <c r="X23" s="10" t="e">
        <f>#REF!+U23</f>
        <v>#REF!</v>
      </c>
    </row>
    <row r="24" spans="1:24" s="3" customFormat="1" ht="12.75" customHeight="1" x14ac:dyDescent="0.25">
      <c r="A24" s="41"/>
      <c r="B24" s="41"/>
      <c r="C24" s="41"/>
      <c r="D24" s="41"/>
      <c r="E24" s="5">
        <v>2014</v>
      </c>
      <c r="F24" s="16">
        <f>74703/12</f>
        <v>6225.25</v>
      </c>
      <c r="G24" s="16">
        <f>52079.07/12</f>
        <v>4339.9224999999997</v>
      </c>
      <c r="H24" s="17" t="s">
        <v>9</v>
      </c>
      <c r="I24" s="16">
        <f>38528.9/12</f>
        <v>3210.7416666666668</v>
      </c>
      <c r="J24" s="16">
        <f>33786.7/12</f>
        <v>2815.5583333333329</v>
      </c>
      <c r="K24" s="16">
        <f>37967.18/12</f>
        <v>3163.9316666666668</v>
      </c>
      <c r="L24" s="16">
        <f>38355.45/12</f>
        <v>3196.2874999999999</v>
      </c>
      <c r="M24" s="16">
        <f>34102.83/12</f>
        <v>2841.9025000000001</v>
      </c>
      <c r="N24" s="16">
        <f>36269.36/12</f>
        <v>3022.4466666666667</v>
      </c>
      <c r="O24" s="16">
        <f>42058.22/12</f>
        <v>3504.8516666666669</v>
      </c>
      <c r="P24" s="21">
        <f t="shared" si="2"/>
        <v>3591.2102777777777</v>
      </c>
      <c r="Q24" s="22">
        <v>50</v>
      </c>
      <c r="R24" s="19">
        <v>85</v>
      </c>
      <c r="S24" s="16">
        <v>62.54</v>
      </c>
      <c r="T24" s="18"/>
      <c r="U24" s="11"/>
      <c r="V24" s="11"/>
      <c r="W24" s="9"/>
      <c r="X24" s="10"/>
    </row>
    <row r="25" spans="1:24" s="3" customFormat="1" ht="12.75" customHeight="1" x14ac:dyDescent="0.25">
      <c r="A25" s="41"/>
      <c r="B25" s="41"/>
      <c r="C25" s="41"/>
      <c r="D25" s="41"/>
      <c r="E25" s="5">
        <v>2015</v>
      </c>
      <c r="F25" s="16">
        <f>33516.09/6</f>
        <v>5586.0149999999994</v>
      </c>
      <c r="G25" s="16">
        <f>24398.28/6</f>
        <v>4066.3799999999997</v>
      </c>
      <c r="H25" s="17" t="s">
        <v>9</v>
      </c>
      <c r="I25" s="16">
        <f>17199.99/6</f>
        <v>2866.6650000000004</v>
      </c>
      <c r="J25" s="16">
        <f>15830.34/6</f>
        <v>2638.39</v>
      </c>
      <c r="K25" s="16">
        <f>17798.83/6</f>
        <v>2966.4716666666668</v>
      </c>
      <c r="L25" s="16">
        <f>17798.83/6</f>
        <v>2966.4716666666668</v>
      </c>
      <c r="M25" s="16">
        <f>16310.88/6</f>
        <v>2718.48</v>
      </c>
      <c r="N25" s="16">
        <f>18095.43/6</f>
        <v>3015.9050000000002</v>
      </c>
      <c r="O25" s="16">
        <f>18980.56/6</f>
        <v>3163.4266666666667</v>
      </c>
      <c r="P25" s="21">
        <f t="shared" si="2"/>
        <v>3332.0227777777777</v>
      </c>
      <c r="Q25" s="22">
        <v>50</v>
      </c>
      <c r="R25" s="19">
        <v>85</v>
      </c>
      <c r="S25" s="16">
        <v>66.22</v>
      </c>
      <c r="T25" s="18" t="e">
        <f>#REF!/#REF!/6</f>
        <v>#REF!</v>
      </c>
      <c r="U25" s="11" t="e">
        <f>100-#REF!</f>
        <v>#REF!</v>
      </c>
      <c r="V25" s="11" t="e">
        <f t="shared" si="3"/>
        <v>#REF!</v>
      </c>
      <c r="W25" s="9"/>
      <c r="X25" s="10" t="e">
        <f>#REF!+U25</f>
        <v>#REF!</v>
      </c>
    </row>
    <row r="26" spans="1:24" s="3" customFormat="1" ht="12.75" customHeight="1" x14ac:dyDescent="0.25">
      <c r="A26" s="36" t="s">
        <v>35</v>
      </c>
      <c r="B26" s="37"/>
      <c r="C26" s="37"/>
      <c r="D26" s="37"/>
      <c r="E26" s="38"/>
      <c r="F26" s="25">
        <f>AVERAGE(F17:F25)</f>
        <v>4480.8917592592588</v>
      </c>
      <c r="G26" s="26" t="s">
        <v>9</v>
      </c>
      <c r="H26" s="26" t="s">
        <v>9</v>
      </c>
      <c r="I26" s="26" t="s">
        <v>9</v>
      </c>
      <c r="J26" s="25">
        <f>AVERAGE(J17:J25)</f>
        <v>2176.7458333333329</v>
      </c>
      <c r="K26" s="25">
        <f t="shared" ref="K26:O26" si="4">AVERAGE(K17:K25)</f>
        <v>2336.3925925925928</v>
      </c>
      <c r="L26" s="25">
        <f t="shared" si="4"/>
        <v>2228.121574074074</v>
      </c>
      <c r="M26" s="25">
        <f t="shared" si="4"/>
        <v>2224.140972222222</v>
      </c>
      <c r="N26" s="25">
        <f t="shared" si="4"/>
        <v>2498.2941666666666</v>
      </c>
      <c r="O26" s="25">
        <f t="shared" si="4"/>
        <v>3355.3344444444447</v>
      </c>
      <c r="P26" s="26" t="s">
        <v>9</v>
      </c>
      <c r="Q26" s="26" t="s">
        <v>9</v>
      </c>
      <c r="R26" s="27" t="s">
        <v>9</v>
      </c>
      <c r="S26" s="26" t="s">
        <v>9</v>
      </c>
      <c r="T26" s="18"/>
      <c r="U26" s="11"/>
      <c r="V26" s="11"/>
      <c r="W26" s="9"/>
      <c r="X26" s="10"/>
    </row>
    <row r="27" spans="1:24" s="3" customFormat="1" ht="12.75" customHeight="1" x14ac:dyDescent="0.25">
      <c r="A27" s="43" t="s">
        <v>15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18"/>
      <c r="U27" s="11"/>
      <c r="V27" s="11"/>
      <c r="W27" s="9"/>
      <c r="X27" s="10"/>
    </row>
    <row r="28" spans="1:24" s="3" customFormat="1" ht="12.75" customHeight="1" x14ac:dyDescent="0.25">
      <c r="A28" s="41">
        <v>1</v>
      </c>
      <c r="B28" s="41">
        <v>58</v>
      </c>
      <c r="C28" s="41" t="s">
        <v>52</v>
      </c>
      <c r="D28" s="41" t="s">
        <v>115</v>
      </c>
      <c r="E28" s="5">
        <v>2013</v>
      </c>
      <c r="F28" s="16">
        <f>41250/12</f>
        <v>3437.5</v>
      </c>
      <c r="G28" s="16">
        <f>39728.96/12</f>
        <v>3310.7466666666664</v>
      </c>
      <c r="H28" s="17" t="s">
        <v>9</v>
      </c>
      <c r="I28" s="16">
        <f>15150/12</f>
        <v>1262.5</v>
      </c>
      <c r="J28" s="16">
        <f>30300/12</f>
        <v>2525</v>
      </c>
      <c r="K28" s="16">
        <f>29100/12</f>
        <v>2425</v>
      </c>
      <c r="L28" s="16">
        <f>30300/12</f>
        <v>2525</v>
      </c>
      <c r="M28" s="16">
        <f>29797.75/12</f>
        <v>2483.1458333333335</v>
      </c>
      <c r="N28" s="16">
        <f>29386.98/12</f>
        <v>2448.915</v>
      </c>
      <c r="O28" s="16">
        <f>29100/12</f>
        <v>2425</v>
      </c>
      <c r="P28" s="21">
        <f t="shared" ref="P28:P36" si="5">AVERAGE(F28:O28)</f>
        <v>2538.089722222222</v>
      </c>
      <c r="Q28" s="22">
        <f>563.17/12</f>
        <v>46.930833333333332</v>
      </c>
      <c r="R28" s="19">
        <v>45</v>
      </c>
      <c r="S28" s="16">
        <v>64.400000000000006</v>
      </c>
      <c r="T28" s="18"/>
      <c r="U28" s="11"/>
      <c r="V28" s="11"/>
      <c r="W28" s="9"/>
      <c r="X28" s="10"/>
    </row>
    <row r="29" spans="1:24" s="3" customFormat="1" ht="12.75" customHeight="1" x14ac:dyDescent="0.25">
      <c r="A29" s="41"/>
      <c r="B29" s="41"/>
      <c r="C29" s="41"/>
      <c r="D29" s="41"/>
      <c r="E29" s="5">
        <v>2014</v>
      </c>
      <c r="F29" s="16">
        <f>34800/12</f>
        <v>2900</v>
      </c>
      <c r="G29" s="16">
        <f>40272.99/12</f>
        <v>3356.0825</v>
      </c>
      <c r="H29" s="17" t="s">
        <v>9</v>
      </c>
      <c r="I29" s="16">
        <f>15200/12</f>
        <v>1266.6666666666667</v>
      </c>
      <c r="J29" s="16">
        <f>29750/12</f>
        <v>2479.1666666666665</v>
      </c>
      <c r="K29" s="16">
        <f>28550/12</f>
        <v>2379.1666666666665</v>
      </c>
      <c r="L29" s="16">
        <f>29750/12</f>
        <v>2479.1666666666665</v>
      </c>
      <c r="M29" s="16">
        <f>29092.58/12</f>
        <v>2424.3816666666667</v>
      </c>
      <c r="N29" s="16">
        <f>25820.55/12</f>
        <v>2151.7125000000001</v>
      </c>
      <c r="O29" s="16">
        <f>29750/12</f>
        <v>2479.1666666666665</v>
      </c>
      <c r="P29" s="21">
        <f t="shared" si="5"/>
        <v>2435.0566666666668</v>
      </c>
      <c r="Q29" s="22">
        <f>566.67/12</f>
        <v>47.222499999999997</v>
      </c>
      <c r="R29" s="19">
        <v>45</v>
      </c>
      <c r="S29" s="16">
        <v>63.97</v>
      </c>
      <c r="T29" s="18" t="e">
        <f>#REF!/#REF!/6</f>
        <v>#REF!</v>
      </c>
      <c r="U29" s="11" t="e">
        <f>100-#REF!</f>
        <v>#REF!</v>
      </c>
      <c r="V29" s="11" t="e">
        <f t="shared" ref="V29" si="6">U29*6</f>
        <v>#REF!</v>
      </c>
      <c r="W29" s="9"/>
      <c r="X29" s="10" t="e">
        <f>#REF!+U29</f>
        <v>#REF!</v>
      </c>
    </row>
    <row r="30" spans="1:24" s="3" customFormat="1" ht="12.75" customHeight="1" x14ac:dyDescent="0.25">
      <c r="A30" s="41"/>
      <c r="B30" s="41"/>
      <c r="C30" s="41"/>
      <c r="D30" s="41"/>
      <c r="E30" s="5">
        <v>2015</v>
      </c>
      <c r="F30" s="16">
        <f>17400/6</f>
        <v>2900</v>
      </c>
      <c r="G30" s="16">
        <f>21395/6</f>
        <v>3565.8333333333335</v>
      </c>
      <c r="H30" s="17" t="s">
        <v>9</v>
      </c>
      <c r="I30" s="16">
        <f>7550/6</f>
        <v>1258.3333333333333</v>
      </c>
      <c r="J30" s="16">
        <f>14926.15/6</f>
        <v>2487.6916666666666</v>
      </c>
      <c r="K30" s="16">
        <f>14305.63/6</f>
        <v>2384.2716666666665</v>
      </c>
      <c r="L30" s="16">
        <f>15000/6</f>
        <v>2500</v>
      </c>
      <c r="M30" s="16">
        <f>15000/6</f>
        <v>2500</v>
      </c>
      <c r="N30" s="16">
        <f>13257.09/6</f>
        <v>2209.5149999999999</v>
      </c>
      <c r="O30" s="16">
        <f>15000/6</f>
        <v>2500</v>
      </c>
      <c r="P30" s="21">
        <f t="shared" si="5"/>
        <v>2478.4050000000002</v>
      </c>
      <c r="Q30" s="22">
        <f>300/6</f>
        <v>50</v>
      </c>
      <c r="R30" s="19">
        <v>45</v>
      </c>
      <c r="S30" s="16">
        <v>64.38</v>
      </c>
      <c r="T30" s="18"/>
      <c r="U30" s="11"/>
      <c r="V30" s="11"/>
      <c r="W30" s="9"/>
      <c r="X30" s="10"/>
    </row>
    <row r="31" spans="1:24" s="3" customFormat="1" ht="12.75" customHeight="1" x14ac:dyDescent="0.25">
      <c r="A31" s="41">
        <v>2</v>
      </c>
      <c r="B31" s="41">
        <v>69</v>
      </c>
      <c r="C31" s="41" t="s">
        <v>2</v>
      </c>
      <c r="D31" s="41" t="s">
        <v>53</v>
      </c>
      <c r="E31" s="5">
        <v>2013</v>
      </c>
      <c r="F31" s="16">
        <f>74786/12</f>
        <v>6232.166666666667</v>
      </c>
      <c r="G31" s="17" t="s">
        <v>9</v>
      </c>
      <c r="H31" s="17" t="s">
        <v>9</v>
      </c>
      <c r="I31" s="16">
        <f>32553/12</f>
        <v>2712.75</v>
      </c>
      <c r="J31" s="16">
        <f>29019/12</f>
        <v>2418.25</v>
      </c>
      <c r="K31" s="16">
        <f>31464/12</f>
        <v>2622</v>
      </c>
      <c r="L31" s="16">
        <f>26611/12</f>
        <v>2217.5833333333335</v>
      </c>
      <c r="M31" s="16">
        <f>27889/12</f>
        <v>2324.0833333333335</v>
      </c>
      <c r="N31" s="16">
        <f>25060/12</f>
        <v>2088.3333333333335</v>
      </c>
      <c r="O31" s="16">
        <f>25338/12</f>
        <v>2111.5</v>
      </c>
      <c r="P31" s="21">
        <f t="shared" si="5"/>
        <v>2840.8333333333335</v>
      </c>
      <c r="Q31" s="22">
        <f>531/12</f>
        <v>44.25</v>
      </c>
      <c r="R31" s="19">
        <v>57</v>
      </c>
      <c r="S31" s="16">
        <v>66.05</v>
      </c>
      <c r="T31" s="18"/>
      <c r="U31" s="11"/>
      <c r="V31" s="11"/>
      <c r="W31" s="9"/>
      <c r="X31" s="10"/>
    </row>
    <row r="32" spans="1:24" s="3" customFormat="1" ht="12.75" customHeight="1" x14ac:dyDescent="0.25">
      <c r="A32" s="41"/>
      <c r="B32" s="41"/>
      <c r="C32" s="41"/>
      <c r="D32" s="41"/>
      <c r="E32" s="5">
        <v>2014</v>
      </c>
      <c r="F32" s="16">
        <f>73600/12</f>
        <v>6133.333333333333</v>
      </c>
      <c r="G32" s="17" t="s">
        <v>9</v>
      </c>
      <c r="H32" s="17" t="s">
        <v>9</v>
      </c>
      <c r="I32" s="16">
        <f>33727/12</f>
        <v>2810.5833333333335</v>
      </c>
      <c r="J32" s="16">
        <f>30424/12</f>
        <v>2535.3333333333335</v>
      </c>
      <c r="K32" s="16">
        <f>32308/12</f>
        <v>2692.3333333333335</v>
      </c>
      <c r="L32" s="16">
        <f>34316/12</f>
        <v>2859.6666666666665</v>
      </c>
      <c r="M32" s="16">
        <f>28639/12</f>
        <v>2386.5833333333335</v>
      </c>
      <c r="N32" s="16">
        <f>25705/12</f>
        <v>2142.0833333333335</v>
      </c>
      <c r="O32" s="16">
        <f>26236/12</f>
        <v>2186.3333333333335</v>
      </c>
      <c r="P32" s="21">
        <f t="shared" si="5"/>
        <v>2968.2812499999995</v>
      </c>
      <c r="Q32" s="22">
        <f>465/12</f>
        <v>38.75</v>
      </c>
      <c r="R32" s="19">
        <v>60</v>
      </c>
      <c r="S32" s="16">
        <v>66.040000000000006</v>
      </c>
      <c r="T32" s="18" t="e">
        <f>#REF!/#REF!/6</f>
        <v>#REF!</v>
      </c>
      <c r="U32" s="11" t="e">
        <f>100-#REF!</f>
        <v>#REF!</v>
      </c>
      <c r="V32" s="11" t="e">
        <f t="shared" ref="V32:V34" si="7">U32*6</f>
        <v>#REF!</v>
      </c>
      <c r="W32" s="9"/>
      <c r="X32" s="10" t="e">
        <f>#REF!+U32</f>
        <v>#REF!</v>
      </c>
    </row>
    <row r="33" spans="1:24" s="3" customFormat="1" ht="11.25" x14ac:dyDescent="0.25">
      <c r="A33" s="41"/>
      <c r="B33" s="41"/>
      <c r="C33" s="41"/>
      <c r="D33" s="41"/>
      <c r="E33" s="5">
        <v>2015</v>
      </c>
      <c r="F33" s="16">
        <f>37648/6</f>
        <v>6274.666666666667</v>
      </c>
      <c r="G33" s="17" t="s">
        <v>9</v>
      </c>
      <c r="H33" s="17" t="s">
        <v>9</v>
      </c>
      <c r="I33" s="16">
        <f>16488/6</f>
        <v>2748</v>
      </c>
      <c r="J33" s="16">
        <f>15442/6</f>
        <v>2573.6666666666665</v>
      </c>
      <c r="K33" s="16">
        <f>14449/6</f>
        <v>2408.1666666666665</v>
      </c>
      <c r="L33" s="16">
        <f>17460/6</f>
        <v>2910</v>
      </c>
      <c r="M33" s="16">
        <f>13871/6</f>
        <v>2311.8333333333335</v>
      </c>
      <c r="N33" s="16">
        <f>14173/6</f>
        <v>2362.1666666666665</v>
      </c>
      <c r="O33" s="16">
        <f>13962/6</f>
        <v>2327</v>
      </c>
      <c r="P33" s="21">
        <f t="shared" si="5"/>
        <v>2989.4375</v>
      </c>
      <c r="Q33" s="22">
        <f>261/6</f>
        <v>43.5</v>
      </c>
      <c r="R33" s="19">
        <v>60</v>
      </c>
      <c r="S33" s="16" t="s">
        <v>140</v>
      </c>
      <c r="T33" s="18" t="e">
        <f>#REF!/S60/6</f>
        <v>#REF!</v>
      </c>
      <c r="U33" s="11" t="e">
        <f>100-#REF!</f>
        <v>#REF!</v>
      </c>
      <c r="V33" s="11" t="e">
        <f t="shared" si="7"/>
        <v>#REF!</v>
      </c>
      <c r="W33" s="9"/>
      <c r="X33" s="10" t="e">
        <f>#REF!+U33</f>
        <v>#REF!</v>
      </c>
    </row>
    <row r="34" spans="1:24" s="3" customFormat="1" ht="12.75" customHeight="1" x14ac:dyDescent="0.25">
      <c r="A34" s="41">
        <v>3</v>
      </c>
      <c r="B34" s="41">
        <v>76</v>
      </c>
      <c r="C34" s="41" t="s">
        <v>54</v>
      </c>
      <c r="D34" s="41" t="s">
        <v>55</v>
      </c>
      <c r="E34" s="5">
        <v>2013</v>
      </c>
      <c r="F34" s="16">
        <f>50900/12</f>
        <v>4241.666666666667</v>
      </c>
      <c r="G34" s="16">
        <f>15266.28/12</f>
        <v>1272.19</v>
      </c>
      <c r="H34" s="17" t="s">
        <v>9</v>
      </c>
      <c r="I34" s="16">
        <f>28929.65/12</f>
        <v>2410.8041666666668</v>
      </c>
      <c r="J34" s="16">
        <f>25550/12</f>
        <v>2129.1666666666665</v>
      </c>
      <c r="K34" s="16">
        <f>22674.3/12</f>
        <v>1889.5249999999999</v>
      </c>
      <c r="L34" s="16">
        <f>28125.05/12</f>
        <v>2343.7541666666666</v>
      </c>
      <c r="M34" s="16">
        <f>28102.52/12</f>
        <v>2341.8766666666666</v>
      </c>
      <c r="N34" s="16">
        <f>24893.23/12</f>
        <v>2074.4358333333334</v>
      </c>
      <c r="O34" s="16">
        <f>29224.72/12</f>
        <v>2435.3933333333334</v>
      </c>
      <c r="P34" s="21">
        <f t="shared" si="5"/>
        <v>2348.7569444444443</v>
      </c>
      <c r="Q34" s="22">
        <f>330/12</f>
        <v>27.5</v>
      </c>
      <c r="R34" s="19">
        <v>35</v>
      </c>
      <c r="S34" s="16">
        <v>72.16</v>
      </c>
      <c r="T34" s="18" t="e">
        <f>#REF!/#REF!/6</f>
        <v>#REF!</v>
      </c>
      <c r="U34" s="11" t="e">
        <f>100-#REF!</f>
        <v>#REF!</v>
      </c>
      <c r="V34" s="11" t="e">
        <f t="shared" si="7"/>
        <v>#REF!</v>
      </c>
      <c r="W34" s="9"/>
      <c r="X34" s="10" t="e">
        <f>#REF!+U34</f>
        <v>#REF!</v>
      </c>
    </row>
    <row r="35" spans="1:24" s="3" customFormat="1" ht="12.75" customHeight="1" x14ac:dyDescent="0.25">
      <c r="A35" s="41"/>
      <c r="B35" s="41"/>
      <c r="C35" s="41"/>
      <c r="D35" s="41"/>
      <c r="E35" s="5">
        <v>2014</v>
      </c>
      <c r="F35" s="16">
        <f>50139.97/12</f>
        <v>4178.3308333333334</v>
      </c>
      <c r="G35" s="16">
        <f>16100/12</f>
        <v>1341.6666666666667</v>
      </c>
      <c r="H35" s="17" t="s">
        <v>9</v>
      </c>
      <c r="I35" s="16">
        <f>28031.98/12</f>
        <v>2335.9983333333334</v>
      </c>
      <c r="J35" s="16">
        <f>23785.72/12</f>
        <v>1982.1433333333334</v>
      </c>
      <c r="K35" s="16">
        <f>28244.02/12</f>
        <v>2353.6683333333335</v>
      </c>
      <c r="L35" s="16">
        <f>27334.6/12</f>
        <v>2277.8833333333332</v>
      </c>
      <c r="M35" s="16">
        <f>27214.32/12</f>
        <v>2267.86</v>
      </c>
      <c r="N35" s="16">
        <f>26954.3/12</f>
        <v>2246.1916666666666</v>
      </c>
      <c r="O35" s="16">
        <f>28682.85/12</f>
        <v>2390.2374999999997</v>
      </c>
      <c r="P35" s="21">
        <f t="shared" si="5"/>
        <v>2374.8866666666668</v>
      </c>
      <c r="Q35" s="22">
        <f>330/12</f>
        <v>27.5</v>
      </c>
      <c r="R35" s="19">
        <v>35</v>
      </c>
      <c r="S35" s="16">
        <v>72.650000000000006</v>
      </c>
      <c r="T35" s="18"/>
      <c r="U35" s="11"/>
      <c r="V35" s="11"/>
      <c r="W35" s="9"/>
      <c r="X35" s="10"/>
    </row>
    <row r="36" spans="1:24" s="3" customFormat="1" ht="12.75" customHeight="1" x14ac:dyDescent="0.25">
      <c r="A36" s="41"/>
      <c r="B36" s="41"/>
      <c r="C36" s="41"/>
      <c r="D36" s="41"/>
      <c r="E36" s="5">
        <v>2015</v>
      </c>
      <c r="F36" s="16">
        <f>25000/6</f>
        <v>4166.666666666667</v>
      </c>
      <c r="G36" s="16">
        <f>8100/6</f>
        <v>1350</v>
      </c>
      <c r="H36" s="17" t="s">
        <v>9</v>
      </c>
      <c r="I36" s="16">
        <f>14325.66/6</f>
        <v>2387.61</v>
      </c>
      <c r="J36" s="16">
        <f>12113.33/6</f>
        <v>2018.8883333333333</v>
      </c>
      <c r="K36" s="16">
        <f>13440/6</f>
        <v>2240</v>
      </c>
      <c r="L36" s="16">
        <f>13374.65/6</f>
        <v>2229.1083333333331</v>
      </c>
      <c r="M36" s="16">
        <f>13657.58/6</f>
        <v>2276.2633333333333</v>
      </c>
      <c r="N36" s="16">
        <f>11405.05/6</f>
        <v>1900.8416666666665</v>
      </c>
      <c r="O36" s="16">
        <f>14400/6</f>
        <v>2400</v>
      </c>
      <c r="P36" s="21">
        <f t="shared" si="5"/>
        <v>2329.9309259259262</v>
      </c>
      <c r="Q36" s="22">
        <f>176.42/6</f>
        <v>29.403333333333332</v>
      </c>
      <c r="R36" s="19">
        <v>35</v>
      </c>
      <c r="S36" s="16">
        <v>73.61</v>
      </c>
      <c r="T36" s="18" t="e">
        <f>#REF!/#REF!/6</f>
        <v>#REF!</v>
      </c>
      <c r="U36" s="11" t="e">
        <f>100-#REF!</f>
        <v>#REF!</v>
      </c>
      <c r="V36" s="11" t="e">
        <f t="shared" ref="V36" si="8">U36*6</f>
        <v>#REF!</v>
      </c>
      <c r="W36" s="9"/>
      <c r="X36" s="10" t="e">
        <f>#REF!+U36</f>
        <v>#REF!</v>
      </c>
    </row>
    <row r="37" spans="1:24" s="3" customFormat="1" ht="12.75" customHeight="1" x14ac:dyDescent="0.25">
      <c r="A37" s="36" t="s">
        <v>35</v>
      </c>
      <c r="B37" s="37"/>
      <c r="C37" s="37"/>
      <c r="D37" s="37"/>
      <c r="E37" s="38"/>
      <c r="F37" s="25">
        <f>AVERAGE(F28:F36)</f>
        <v>4496.0367592592593</v>
      </c>
      <c r="G37" s="26" t="s">
        <v>9</v>
      </c>
      <c r="H37" s="26" t="s">
        <v>9</v>
      </c>
      <c r="I37" s="26" t="s">
        <v>9</v>
      </c>
      <c r="J37" s="25">
        <f t="shared" ref="J37:O37" si="9">AVERAGE(J28:J36)</f>
        <v>2349.9229629629631</v>
      </c>
      <c r="K37" s="25">
        <f t="shared" si="9"/>
        <v>2377.1257407407411</v>
      </c>
      <c r="L37" s="25">
        <f t="shared" si="9"/>
        <v>2482.4625000000001</v>
      </c>
      <c r="M37" s="25">
        <f t="shared" si="9"/>
        <v>2368.4475000000002</v>
      </c>
      <c r="N37" s="25">
        <f t="shared" si="9"/>
        <v>2180.4661111111109</v>
      </c>
      <c r="O37" s="25">
        <f t="shared" si="9"/>
        <v>2361.6256481481482</v>
      </c>
      <c r="P37" s="26" t="s">
        <v>9</v>
      </c>
      <c r="Q37" s="26" t="s">
        <v>9</v>
      </c>
      <c r="R37" s="27" t="s">
        <v>9</v>
      </c>
      <c r="S37" s="26" t="s">
        <v>9</v>
      </c>
      <c r="T37" s="18"/>
      <c r="U37" s="11"/>
      <c r="V37" s="11"/>
      <c r="W37" s="9"/>
      <c r="X37" s="10"/>
    </row>
    <row r="38" spans="1:24" s="3" customFormat="1" ht="12.75" customHeight="1" x14ac:dyDescent="0.25">
      <c r="A38" s="43" t="s">
        <v>27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8"/>
      <c r="U38" s="11"/>
      <c r="V38" s="11"/>
      <c r="W38" s="9"/>
      <c r="X38" s="10"/>
    </row>
    <row r="39" spans="1:24" s="3" customFormat="1" ht="15.75" customHeight="1" x14ac:dyDescent="0.25">
      <c r="A39" s="41">
        <v>1</v>
      </c>
      <c r="B39" s="41">
        <v>89</v>
      </c>
      <c r="C39" s="41" t="s">
        <v>39</v>
      </c>
      <c r="D39" s="41" t="s">
        <v>116</v>
      </c>
      <c r="E39" s="5">
        <v>2013</v>
      </c>
      <c r="F39" s="16">
        <f>49801.2/12</f>
        <v>4150.0999999999995</v>
      </c>
      <c r="G39" s="16">
        <f>22806.26/12</f>
        <v>1900.5216666666665</v>
      </c>
      <c r="H39" s="17" t="s">
        <v>9</v>
      </c>
      <c r="I39" s="16">
        <f>10487.23/12</f>
        <v>873.93583333333333</v>
      </c>
      <c r="J39" s="16">
        <f>31365.58/12</f>
        <v>2613.7983333333336</v>
      </c>
      <c r="K39" s="16">
        <f>31565.58/12</f>
        <v>2630.4650000000001</v>
      </c>
      <c r="L39" s="16">
        <f>31516.06/12</f>
        <v>2626.3383333333336</v>
      </c>
      <c r="M39" s="16">
        <f>25741.01/12</f>
        <v>2145.0841666666665</v>
      </c>
      <c r="N39" s="17" t="s">
        <v>9</v>
      </c>
      <c r="O39" s="17" t="s">
        <v>9</v>
      </c>
      <c r="P39" s="21">
        <f>AVERAGE(F39:O39)</f>
        <v>2420.0347619047616</v>
      </c>
      <c r="Q39" s="22">
        <f>207/4</f>
        <v>51.75</v>
      </c>
      <c r="R39" s="19">
        <v>20</v>
      </c>
      <c r="S39" s="16">
        <v>63.13</v>
      </c>
      <c r="T39" s="18"/>
      <c r="U39" s="11"/>
      <c r="V39" s="11"/>
      <c r="W39" s="9"/>
      <c r="X39" s="10"/>
    </row>
    <row r="40" spans="1:24" s="3" customFormat="1" ht="15.75" customHeight="1" x14ac:dyDescent="0.25">
      <c r="A40" s="41"/>
      <c r="B40" s="41"/>
      <c r="C40" s="41"/>
      <c r="D40" s="41"/>
      <c r="E40" s="5">
        <v>2014</v>
      </c>
      <c r="F40" s="16">
        <f>57267.02/12</f>
        <v>4772.2516666666661</v>
      </c>
      <c r="G40" s="16">
        <f>27097.24/12</f>
        <v>2258.1033333333335</v>
      </c>
      <c r="H40" s="17" t="s">
        <v>9</v>
      </c>
      <c r="I40" s="20">
        <f>9915.43/12</f>
        <v>826.28583333333336</v>
      </c>
      <c r="J40" s="20">
        <f>32500.61/12</f>
        <v>2708.3841666666667</v>
      </c>
      <c r="K40" s="20">
        <f>32503.85/12</f>
        <v>2708.6541666666667</v>
      </c>
      <c r="L40" s="20">
        <f>32500.39/12</f>
        <v>2708.3658333333333</v>
      </c>
      <c r="M40" s="20">
        <f>5686.95/12</f>
        <v>473.91249999999997</v>
      </c>
      <c r="N40" s="20">
        <f>8130.65/12</f>
        <v>677.55416666666667</v>
      </c>
      <c r="O40" s="17" t="s">
        <v>9</v>
      </c>
      <c r="P40" s="21">
        <f t="shared" ref="P40:P47" si="10">AVERAGE(F40:O40)</f>
        <v>2141.6889583333332</v>
      </c>
      <c r="Q40" s="22">
        <f>177/4</f>
        <v>44.25</v>
      </c>
      <c r="R40" s="19">
        <v>25</v>
      </c>
      <c r="S40" s="16">
        <v>64.41</v>
      </c>
      <c r="T40" s="18" t="e">
        <f>#REF!/#REF!/6</f>
        <v>#REF!</v>
      </c>
      <c r="U40" s="11" t="e">
        <f>100-#REF!</f>
        <v>#REF!</v>
      </c>
      <c r="V40" s="11" t="e">
        <f t="shared" ref="V40" si="11">U40*6</f>
        <v>#REF!</v>
      </c>
      <c r="W40" s="9"/>
      <c r="X40" s="10" t="e">
        <f>#REF!+U40</f>
        <v>#REF!</v>
      </c>
    </row>
    <row r="41" spans="1:24" s="3" customFormat="1" ht="15.75" customHeight="1" x14ac:dyDescent="0.25">
      <c r="A41" s="41"/>
      <c r="B41" s="41"/>
      <c r="C41" s="41"/>
      <c r="D41" s="41"/>
      <c r="E41" s="5">
        <v>2015</v>
      </c>
      <c r="F41" s="16">
        <f>23346.49/6</f>
        <v>3891.0816666666669</v>
      </c>
      <c r="G41" s="16">
        <f>18170/6</f>
        <v>3028.3333333333335</v>
      </c>
      <c r="H41" s="17" t="s">
        <v>9</v>
      </c>
      <c r="I41" s="20">
        <f>5730/12</f>
        <v>477.5</v>
      </c>
      <c r="J41" s="20">
        <f>17097.12/6</f>
        <v>2849.52</v>
      </c>
      <c r="K41" s="20">
        <f>17242.23/6</f>
        <v>2873.7049999999999</v>
      </c>
      <c r="L41" s="20">
        <f>2026.2/6</f>
        <v>337.7</v>
      </c>
      <c r="M41" s="20">
        <f>17370/6</f>
        <v>2895</v>
      </c>
      <c r="N41" s="20">
        <f>17370/6</f>
        <v>2895</v>
      </c>
      <c r="O41" s="17" t="s">
        <v>9</v>
      </c>
      <c r="P41" s="21">
        <f t="shared" si="10"/>
        <v>2405.9800000000005</v>
      </c>
      <c r="Q41" s="22">
        <f>53.2</f>
        <v>53.2</v>
      </c>
      <c r="R41" s="19">
        <v>25</v>
      </c>
      <c r="S41" s="16" t="s">
        <v>147</v>
      </c>
      <c r="T41" s="18"/>
      <c r="U41" s="11"/>
      <c r="V41" s="11"/>
      <c r="W41" s="9"/>
      <c r="X41" s="10"/>
    </row>
    <row r="42" spans="1:24" s="3" customFormat="1" ht="15.75" customHeight="1" x14ac:dyDescent="0.25">
      <c r="A42" s="41">
        <v>2</v>
      </c>
      <c r="B42" s="41">
        <v>90</v>
      </c>
      <c r="C42" s="41" t="s">
        <v>40</v>
      </c>
      <c r="D42" s="41" t="s">
        <v>41</v>
      </c>
      <c r="E42" s="5">
        <v>2013</v>
      </c>
      <c r="F42" s="16">
        <f>57403/12</f>
        <v>4783.583333333333</v>
      </c>
      <c r="G42" s="16">
        <f>46379/12</f>
        <v>3864.9166666666665</v>
      </c>
      <c r="H42" s="17" t="s">
        <v>9</v>
      </c>
      <c r="I42" s="16">
        <f>11657/12</f>
        <v>971.41666666666663</v>
      </c>
      <c r="J42" s="16">
        <f>33342/12</f>
        <v>2778.5</v>
      </c>
      <c r="K42" s="16">
        <f>29018/12</f>
        <v>2418.1666666666665</v>
      </c>
      <c r="L42" s="16">
        <f>33067/12</f>
        <v>2755.5833333333335</v>
      </c>
      <c r="M42" s="16">
        <f>32115/12</f>
        <v>2676.25</v>
      </c>
      <c r="N42" s="16">
        <f>32675/12</f>
        <v>2722.9166666666665</v>
      </c>
      <c r="O42" s="16">
        <f>31975/12</f>
        <v>2664.5833333333335</v>
      </c>
      <c r="P42" s="21">
        <f t="shared" si="10"/>
        <v>2848.4351851851848</v>
      </c>
      <c r="Q42" s="22">
        <v>45</v>
      </c>
      <c r="R42" s="19">
        <v>45</v>
      </c>
      <c r="S42" s="16">
        <v>66.569999999999993</v>
      </c>
      <c r="T42" s="18"/>
      <c r="U42" s="11"/>
      <c r="V42" s="11"/>
      <c r="W42" s="9"/>
      <c r="X42" s="10"/>
    </row>
    <row r="43" spans="1:24" s="3" customFormat="1" ht="15.75" customHeight="1" x14ac:dyDescent="0.25">
      <c r="A43" s="41"/>
      <c r="B43" s="41"/>
      <c r="C43" s="41"/>
      <c r="D43" s="41"/>
      <c r="E43" s="5">
        <v>2014</v>
      </c>
      <c r="F43" s="16">
        <f>65762/12</f>
        <v>5480.166666666667</v>
      </c>
      <c r="G43" s="16">
        <f>43126/12</f>
        <v>3593.8333333333335</v>
      </c>
      <c r="H43" s="17" t="s">
        <v>9</v>
      </c>
      <c r="I43" s="16">
        <f>12397/12</f>
        <v>1033.0833333333333</v>
      </c>
      <c r="J43" s="16">
        <f>29487/12</f>
        <v>2457.25</v>
      </c>
      <c r="K43" s="16">
        <f>30002/12</f>
        <v>2500.1666666666665</v>
      </c>
      <c r="L43" s="16">
        <f>32797/12</f>
        <v>2733.0833333333335</v>
      </c>
      <c r="M43" s="16">
        <f>23365/12</f>
        <v>1947.0833333333333</v>
      </c>
      <c r="N43" s="16">
        <f>32753/12</f>
        <v>2729.4166666666665</v>
      </c>
      <c r="O43" s="16">
        <f>33260/12</f>
        <v>2771.6666666666665</v>
      </c>
      <c r="P43" s="21">
        <f t="shared" si="10"/>
        <v>2805.0833333333335</v>
      </c>
      <c r="Q43" s="22">
        <v>45</v>
      </c>
      <c r="R43" s="19">
        <v>45</v>
      </c>
      <c r="S43" s="16">
        <v>63.24</v>
      </c>
      <c r="T43" s="18" t="e">
        <f>#REF!/S93/6</f>
        <v>#REF!</v>
      </c>
      <c r="U43" s="11" t="e">
        <f>100-#REF!</f>
        <v>#REF!</v>
      </c>
      <c r="V43" s="11" t="e">
        <f t="shared" ref="V43:V45" si="12">U43*6</f>
        <v>#REF!</v>
      </c>
      <c r="W43" s="9"/>
      <c r="X43" s="10" t="e">
        <f>#REF!+U43</f>
        <v>#REF!</v>
      </c>
    </row>
    <row r="44" spans="1:24" s="3" customFormat="1" ht="15.75" customHeight="1" x14ac:dyDescent="0.25">
      <c r="A44" s="41"/>
      <c r="B44" s="41"/>
      <c r="C44" s="41"/>
      <c r="D44" s="41"/>
      <c r="E44" s="5">
        <v>2015</v>
      </c>
      <c r="F44" s="16">
        <f>29887/6</f>
        <v>4981.166666666667</v>
      </c>
      <c r="G44" s="16">
        <f>23935/6</f>
        <v>3989.1666666666665</v>
      </c>
      <c r="H44" s="17" t="s">
        <v>9</v>
      </c>
      <c r="I44" s="16">
        <f>5787/6</f>
        <v>964.5</v>
      </c>
      <c r="J44" s="16">
        <f>17012/6</f>
        <v>2835.3333333333335</v>
      </c>
      <c r="K44" s="16">
        <f>14837/6</f>
        <v>2472.8333333333335</v>
      </c>
      <c r="L44" s="16">
        <f>16845/6</f>
        <v>2807.5</v>
      </c>
      <c r="M44" s="16">
        <f>15043/6</f>
        <v>2507.1666666666665</v>
      </c>
      <c r="N44" s="16">
        <f>11929/6</f>
        <v>1988.1666666666667</v>
      </c>
      <c r="O44" s="16">
        <f>14814/6</f>
        <v>2469</v>
      </c>
      <c r="P44" s="21">
        <f t="shared" si="10"/>
        <v>2779.4259259259261</v>
      </c>
      <c r="Q44" s="22">
        <v>45</v>
      </c>
      <c r="R44" s="19">
        <v>45</v>
      </c>
      <c r="S44" s="16">
        <v>62.51</v>
      </c>
      <c r="T44" s="18" t="e">
        <f>#REF!/#REF!/6</f>
        <v>#REF!</v>
      </c>
      <c r="U44" s="11" t="e">
        <f>100-#REF!</f>
        <v>#REF!</v>
      </c>
      <c r="V44" s="11" t="e">
        <f t="shared" si="12"/>
        <v>#REF!</v>
      </c>
      <c r="W44" s="9"/>
      <c r="X44" s="10" t="e">
        <f>#REF!+U44</f>
        <v>#REF!</v>
      </c>
    </row>
    <row r="45" spans="1:24" s="3" customFormat="1" ht="12.75" customHeight="1" x14ac:dyDescent="0.25">
      <c r="A45" s="41">
        <v>3</v>
      </c>
      <c r="B45" s="41">
        <v>91</v>
      </c>
      <c r="C45" s="41" t="s">
        <v>42</v>
      </c>
      <c r="D45" s="41" t="s">
        <v>125</v>
      </c>
      <c r="E45" s="5">
        <v>2013</v>
      </c>
      <c r="F45" s="16">
        <f>45645.95/12</f>
        <v>3803.8291666666664</v>
      </c>
      <c r="G45" s="16">
        <f>27082/12</f>
        <v>2256.8333333333335</v>
      </c>
      <c r="H45" s="17" t="s">
        <v>9</v>
      </c>
      <c r="I45" s="16">
        <f>10058/12</f>
        <v>838.16666666666663</v>
      </c>
      <c r="J45" s="16">
        <f>29443/12</f>
        <v>2453.5833333333335</v>
      </c>
      <c r="K45" s="16">
        <f>31013/12</f>
        <v>2584.4166666666665</v>
      </c>
      <c r="L45" s="16">
        <f>29449.18/12</f>
        <v>2454.0983333333334</v>
      </c>
      <c r="M45" s="16">
        <f>28454.58/12</f>
        <v>2371.2150000000001</v>
      </c>
      <c r="N45" s="17" t="s">
        <v>9</v>
      </c>
      <c r="O45" s="17" t="s">
        <v>9</v>
      </c>
      <c r="P45" s="21">
        <f t="shared" si="10"/>
        <v>2394.5917857142858</v>
      </c>
      <c r="Q45" s="22">
        <v>30</v>
      </c>
      <c r="R45" s="19">
        <v>25</v>
      </c>
      <c r="S45" s="16">
        <v>65.55</v>
      </c>
      <c r="T45" s="18" t="e">
        <f>#REF!/#REF!/6</f>
        <v>#REF!</v>
      </c>
      <c r="U45" s="11" t="e">
        <f>100-#REF!</f>
        <v>#REF!</v>
      </c>
      <c r="V45" s="11" t="e">
        <f t="shared" si="12"/>
        <v>#REF!</v>
      </c>
      <c r="W45" s="9"/>
      <c r="X45" s="10" t="e">
        <f>#REF!+U45</f>
        <v>#REF!</v>
      </c>
    </row>
    <row r="46" spans="1:24" s="3" customFormat="1" ht="12.75" customHeight="1" x14ac:dyDescent="0.25">
      <c r="A46" s="41"/>
      <c r="B46" s="41"/>
      <c r="C46" s="41"/>
      <c r="D46" s="41"/>
      <c r="E46" s="5">
        <v>2014</v>
      </c>
      <c r="F46" s="16">
        <f>45596.29/12</f>
        <v>3799.6908333333336</v>
      </c>
      <c r="G46" s="16">
        <f>26973.35/12</f>
        <v>2247.7791666666667</v>
      </c>
      <c r="H46" s="17" t="s">
        <v>9</v>
      </c>
      <c r="I46" s="16">
        <f>10059.67/12</f>
        <v>838.30583333333334</v>
      </c>
      <c r="J46" s="16">
        <f>29377.62/12</f>
        <v>2448.1349999999998</v>
      </c>
      <c r="K46" s="16">
        <f>30165.54/12</f>
        <v>2513.7950000000001</v>
      </c>
      <c r="L46" s="16">
        <f>29165.18/12</f>
        <v>2430.4316666666668</v>
      </c>
      <c r="M46" s="16">
        <f>29157.83/12</f>
        <v>2429.8191666666667</v>
      </c>
      <c r="N46" s="17" t="s">
        <v>9</v>
      </c>
      <c r="O46" s="17" t="s">
        <v>9</v>
      </c>
      <c r="P46" s="21">
        <f t="shared" si="10"/>
        <v>2386.8509523809525</v>
      </c>
      <c r="Q46" s="22">
        <v>27.35</v>
      </c>
      <c r="R46" s="19">
        <v>25</v>
      </c>
      <c r="S46" s="16">
        <v>65.58</v>
      </c>
      <c r="T46" s="18"/>
      <c r="U46" s="11"/>
      <c r="V46" s="11"/>
      <c r="W46" s="9"/>
      <c r="X46" s="10"/>
    </row>
    <row r="47" spans="1:24" s="3" customFormat="1" ht="12.75" customHeight="1" x14ac:dyDescent="0.25">
      <c r="A47" s="41"/>
      <c r="B47" s="41"/>
      <c r="C47" s="41"/>
      <c r="D47" s="41"/>
      <c r="E47" s="5">
        <v>2015</v>
      </c>
      <c r="F47" s="16">
        <f>45490/6</f>
        <v>7581.666666666667</v>
      </c>
      <c r="G47" s="16">
        <f>26369/6</f>
        <v>4394.833333333333</v>
      </c>
      <c r="H47" s="17" t="s">
        <v>9</v>
      </c>
      <c r="I47" s="16">
        <f>9229.58/6</f>
        <v>1538.2633333333333</v>
      </c>
      <c r="J47" s="16">
        <f>29232/6</f>
        <v>4872</v>
      </c>
      <c r="K47" s="16">
        <f>29154.2/6</f>
        <v>4859.0333333333338</v>
      </c>
      <c r="L47" s="16">
        <f>29232.2/6</f>
        <v>4872.0333333333338</v>
      </c>
      <c r="M47" s="16">
        <f>26261.82/12</f>
        <v>2188.4850000000001</v>
      </c>
      <c r="N47" s="17" t="s">
        <v>9</v>
      </c>
      <c r="O47" s="17" t="s">
        <v>9</v>
      </c>
      <c r="P47" s="21">
        <f t="shared" si="10"/>
        <v>4329.4735714285716</v>
      </c>
      <c r="Q47" s="22">
        <v>33</v>
      </c>
      <c r="R47" s="19">
        <v>25</v>
      </c>
      <c r="S47" s="16">
        <v>66.27</v>
      </c>
      <c r="T47" s="18" t="e">
        <f>#REF!/S104/6</f>
        <v>#REF!</v>
      </c>
      <c r="U47" s="11" t="e">
        <f>100-#REF!</f>
        <v>#REF!</v>
      </c>
      <c r="V47" s="11" t="e">
        <f t="shared" ref="V47" si="13">U47*6</f>
        <v>#REF!</v>
      </c>
      <c r="W47" s="9"/>
      <c r="X47" s="10" t="e">
        <f>#REF!+U47</f>
        <v>#REF!</v>
      </c>
    </row>
    <row r="48" spans="1:24" s="3" customFormat="1" ht="12.75" customHeight="1" x14ac:dyDescent="0.25">
      <c r="A48" s="36" t="s">
        <v>35</v>
      </c>
      <c r="B48" s="37"/>
      <c r="C48" s="37"/>
      <c r="D48" s="37"/>
      <c r="E48" s="38"/>
      <c r="F48" s="25">
        <f>AVERAGE(F39:F47)</f>
        <v>4804.8374074074072</v>
      </c>
      <c r="G48" s="26" t="s">
        <v>9</v>
      </c>
      <c r="H48" s="26" t="s">
        <v>9</v>
      </c>
      <c r="I48" s="26" t="s">
        <v>9</v>
      </c>
      <c r="J48" s="25">
        <f>AVERAGE(J39:J47)</f>
        <v>2890.7226851851851</v>
      </c>
      <c r="K48" s="25">
        <f t="shared" ref="K48:O48" si="14">AVERAGE(K39:K47)</f>
        <v>2840.1373148148145</v>
      </c>
      <c r="L48" s="25">
        <f t="shared" si="14"/>
        <v>2636.1260185185183</v>
      </c>
      <c r="M48" s="25">
        <f t="shared" si="14"/>
        <v>2181.5573148148151</v>
      </c>
      <c r="N48" s="25">
        <f t="shared" si="14"/>
        <v>2202.6108333333332</v>
      </c>
      <c r="O48" s="25">
        <f t="shared" si="14"/>
        <v>2635.0833333333335</v>
      </c>
      <c r="P48" s="26" t="s">
        <v>9</v>
      </c>
      <c r="Q48" s="26" t="s">
        <v>9</v>
      </c>
      <c r="R48" s="27" t="s">
        <v>9</v>
      </c>
      <c r="S48" s="26" t="s">
        <v>9</v>
      </c>
      <c r="T48" s="18"/>
      <c r="U48" s="11"/>
      <c r="V48" s="11"/>
      <c r="W48" s="9"/>
      <c r="X48" s="10"/>
    </row>
    <row r="49" spans="1:24" s="3" customFormat="1" ht="12.75" customHeight="1" x14ac:dyDescent="0.25">
      <c r="A49" s="43" t="s">
        <v>28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8" t="e">
        <f>#REF!/#REF!/6</f>
        <v>#REF!</v>
      </c>
      <c r="U49" s="11" t="e">
        <f>100-#REF!</f>
        <v>#REF!</v>
      </c>
      <c r="V49" s="11" t="e">
        <f t="shared" si="3"/>
        <v>#REF!</v>
      </c>
      <c r="W49" s="9"/>
      <c r="X49" s="10" t="e">
        <f>#REF!+U49</f>
        <v>#REF!</v>
      </c>
    </row>
    <row r="50" spans="1:24" s="3" customFormat="1" ht="15.75" customHeight="1" x14ac:dyDescent="0.25">
      <c r="A50" s="41">
        <v>1</v>
      </c>
      <c r="B50" s="41">
        <v>94</v>
      </c>
      <c r="C50" s="41" t="s">
        <v>89</v>
      </c>
      <c r="D50" s="41" t="s">
        <v>90</v>
      </c>
      <c r="E50" s="5">
        <v>2013</v>
      </c>
      <c r="F50" s="16">
        <f>63043.78/12</f>
        <v>5253.6483333333335</v>
      </c>
      <c r="G50" s="16">
        <f>19900.14/12</f>
        <v>1658.345</v>
      </c>
      <c r="H50" s="17" t="s">
        <v>9</v>
      </c>
      <c r="I50" s="16">
        <f>16320.45/12</f>
        <v>1360.0375000000001</v>
      </c>
      <c r="J50" s="16">
        <f>33049.66/12</f>
        <v>2754.1383333333338</v>
      </c>
      <c r="K50" s="16">
        <f>32630.46/12</f>
        <v>2719.2049999999999</v>
      </c>
      <c r="L50" s="16">
        <f>32819.51/12</f>
        <v>2734.959166666667</v>
      </c>
      <c r="M50" s="16">
        <f>29217.63/12</f>
        <v>2434.8025000000002</v>
      </c>
      <c r="N50" s="16">
        <f>32977.66/12</f>
        <v>2748.1383333333338</v>
      </c>
      <c r="O50" s="16">
        <f>30017.37/12</f>
        <v>2501.4474999999998</v>
      </c>
      <c r="P50" s="21">
        <f t="shared" ref="P50:P69" si="15">AVERAGE(F50:O50)</f>
        <v>2684.9690740740743</v>
      </c>
      <c r="Q50" s="22">
        <v>114.8</v>
      </c>
      <c r="R50" s="19">
        <v>30</v>
      </c>
      <c r="S50" s="16">
        <v>73.69</v>
      </c>
      <c r="T50" s="18"/>
      <c r="U50" s="11"/>
      <c r="V50" s="11"/>
      <c r="W50" s="9"/>
      <c r="X50" s="10"/>
    </row>
    <row r="51" spans="1:24" s="3" customFormat="1" ht="15.75" customHeight="1" x14ac:dyDescent="0.25">
      <c r="A51" s="41"/>
      <c r="B51" s="41"/>
      <c r="C51" s="41"/>
      <c r="D51" s="41"/>
      <c r="E51" s="5">
        <v>2014</v>
      </c>
      <c r="F51" s="16">
        <f>64257.45/12</f>
        <v>5354.7874999999995</v>
      </c>
      <c r="G51" s="16">
        <f>27026.87/12</f>
        <v>2252.2391666666667</v>
      </c>
      <c r="H51" s="17" t="s">
        <v>9</v>
      </c>
      <c r="I51" s="16">
        <f>16876.28/12</f>
        <v>1406.3566666666666</v>
      </c>
      <c r="J51" s="16">
        <f>33940.03/12</f>
        <v>2828.3358333333331</v>
      </c>
      <c r="K51" s="16">
        <f>33268.09/12</f>
        <v>2772.3408333333332</v>
      </c>
      <c r="L51" s="16">
        <f>33257.26/12</f>
        <v>2771.4383333333335</v>
      </c>
      <c r="M51" s="16">
        <f>32542.46/12</f>
        <v>2711.8716666666664</v>
      </c>
      <c r="N51" s="16">
        <f>33611.68/12</f>
        <v>2800.9733333333334</v>
      </c>
      <c r="O51" s="16">
        <f>30762.59/12</f>
        <v>2563.5491666666667</v>
      </c>
      <c r="P51" s="21">
        <f t="shared" si="15"/>
        <v>2829.0991666666664</v>
      </c>
      <c r="Q51" s="22">
        <v>94.44</v>
      </c>
      <c r="R51" s="19">
        <v>30</v>
      </c>
      <c r="S51" s="16">
        <v>77.72</v>
      </c>
      <c r="T51" s="18" t="e">
        <f>#REF!/#REF!/6</f>
        <v>#REF!</v>
      </c>
      <c r="U51" s="11" t="e">
        <f>100-#REF!</f>
        <v>#REF!</v>
      </c>
      <c r="V51" s="11" t="e">
        <f t="shared" ref="V51" si="16">U51*6</f>
        <v>#REF!</v>
      </c>
      <c r="W51" s="9"/>
      <c r="X51" s="10" t="e">
        <f>#REF!+U51</f>
        <v>#REF!</v>
      </c>
    </row>
    <row r="52" spans="1:24" s="3" customFormat="1" ht="15.75" customHeight="1" x14ac:dyDescent="0.25">
      <c r="A52" s="41"/>
      <c r="B52" s="41"/>
      <c r="C52" s="41"/>
      <c r="D52" s="41"/>
      <c r="E52" s="5">
        <v>2015</v>
      </c>
      <c r="F52" s="16">
        <f>33570.68/6</f>
        <v>5595.1133333333337</v>
      </c>
      <c r="G52" s="16">
        <f>13756.9/6</f>
        <v>2292.8166666666666</v>
      </c>
      <c r="H52" s="17" t="s">
        <v>9</v>
      </c>
      <c r="I52" s="16">
        <f>8567.85/6</f>
        <v>1427.9750000000001</v>
      </c>
      <c r="J52" s="16">
        <f>17135.69/6</f>
        <v>2855.9483333333333</v>
      </c>
      <c r="K52" s="16">
        <f>11134.68/6</f>
        <v>1855.78</v>
      </c>
      <c r="L52" s="16">
        <f>16776.2/6</f>
        <v>2796.0333333333333</v>
      </c>
      <c r="M52" s="16">
        <f>16202.01/6</f>
        <v>2700.335</v>
      </c>
      <c r="N52" s="16">
        <f>17135.69/6</f>
        <v>2855.9483333333333</v>
      </c>
      <c r="O52" s="16">
        <f>14739.12/6</f>
        <v>2456.52</v>
      </c>
      <c r="P52" s="21">
        <f t="shared" si="15"/>
        <v>2759.6077777777778</v>
      </c>
      <c r="Q52" s="22">
        <v>99.16</v>
      </c>
      <c r="R52" s="19">
        <v>30</v>
      </c>
      <c r="S52" s="16" t="s">
        <v>141</v>
      </c>
      <c r="T52" s="18"/>
      <c r="U52" s="11"/>
      <c r="V52" s="11"/>
      <c r="W52" s="9"/>
      <c r="X52" s="10"/>
    </row>
    <row r="53" spans="1:24" s="3" customFormat="1" ht="12.75" customHeight="1" x14ac:dyDescent="0.25">
      <c r="A53" s="41">
        <v>2</v>
      </c>
      <c r="B53" s="41">
        <v>102</v>
      </c>
      <c r="C53" s="41" t="s">
        <v>91</v>
      </c>
      <c r="D53" s="41" t="s">
        <v>92</v>
      </c>
      <c r="E53" s="5">
        <v>2013</v>
      </c>
      <c r="F53" s="16">
        <f>54943.4/12</f>
        <v>4578.6166666666668</v>
      </c>
      <c r="G53" s="16">
        <f>24300/12</f>
        <v>2025</v>
      </c>
      <c r="H53" s="17" t="s">
        <v>9</v>
      </c>
      <c r="I53" s="16">
        <f>17336.67/12</f>
        <v>1444.7224999999999</v>
      </c>
      <c r="J53" s="16">
        <f>23896.66/12</f>
        <v>1991.3883333333333</v>
      </c>
      <c r="K53" s="16">
        <f>26208.97/12</f>
        <v>2184.0808333333334</v>
      </c>
      <c r="L53" s="16">
        <f>26572.48/12</f>
        <v>2214.3733333333334</v>
      </c>
      <c r="M53" s="16">
        <f>24679.27/12</f>
        <v>2056.6058333333335</v>
      </c>
      <c r="N53" s="16">
        <f>23207.31/12</f>
        <v>1933.9425000000001</v>
      </c>
      <c r="O53" s="16">
        <f>23084.07/12</f>
        <v>1923.6724999999999</v>
      </c>
      <c r="P53" s="21">
        <f t="shared" si="15"/>
        <v>2261.3780555555559</v>
      </c>
      <c r="Q53" s="22">
        <v>105.69</v>
      </c>
      <c r="R53" s="19">
        <v>55</v>
      </c>
      <c r="S53" s="16">
        <v>48.98</v>
      </c>
      <c r="T53" s="18"/>
      <c r="U53" s="11"/>
      <c r="V53" s="11"/>
      <c r="W53" s="9"/>
      <c r="X53" s="10"/>
    </row>
    <row r="54" spans="1:24" s="3" customFormat="1" ht="12.75" customHeight="1" x14ac:dyDescent="0.25">
      <c r="A54" s="41"/>
      <c r="B54" s="41"/>
      <c r="C54" s="41"/>
      <c r="D54" s="41"/>
      <c r="E54" s="5">
        <v>2014</v>
      </c>
      <c r="F54" s="16">
        <f>55083.6/12</f>
        <v>4590.3</v>
      </c>
      <c r="G54" s="16">
        <f>25300/12</f>
        <v>2108.3333333333335</v>
      </c>
      <c r="H54" s="17" t="s">
        <v>9</v>
      </c>
      <c r="I54" s="16">
        <f>17336.67/12</f>
        <v>1444.7224999999999</v>
      </c>
      <c r="J54" s="16">
        <f>25360/12</f>
        <v>2113.3333333333335</v>
      </c>
      <c r="K54" s="16">
        <f>23535.46/12</f>
        <v>1961.2883333333332</v>
      </c>
      <c r="L54" s="16">
        <f>25439.36/12</f>
        <v>2119.9466666666667</v>
      </c>
      <c r="M54" s="16">
        <f>27100/12</f>
        <v>2258.3333333333335</v>
      </c>
      <c r="N54" s="16">
        <f>26424.88/12</f>
        <v>2202.0733333333333</v>
      </c>
      <c r="O54" s="16">
        <f>26700/12</f>
        <v>2225</v>
      </c>
      <c r="P54" s="21">
        <f t="shared" si="15"/>
        <v>2335.925648148148</v>
      </c>
      <c r="Q54" s="22">
        <v>86.16</v>
      </c>
      <c r="R54" s="19">
        <v>70</v>
      </c>
      <c r="S54" s="16">
        <v>49.71</v>
      </c>
      <c r="T54" s="18" t="e">
        <f>#REF!/#REF!/6</f>
        <v>#REF!</v>
      </c>
      <c r="U54" s="11" t="e">
        <f>100-#REF!</f>
        <v>#REF!</v>
      </c>
      <c r="V54" s="11" t="e">
        <f t="shared" ref="V54:V56" si="17">U54*6</f>
        <v>#REF!</v>
      </c>
      <c r="W54" s="9"/>
      <c r="X54" s="10" t="e">
        <f>#REF!+U54</f>
        <v>#REF!</v>
      </c>
    </row>
    <row r="55" spans="1:24" s="3" customFormat="1" ht="11.25" x14ac:dyDescent="0.25">
      <c r="A55" s="41"/>
      <c r="B55" s="41"/>
      <c r="C55" s="41"/>
      <c r="D55" s="41"/>
      <c r="E55" s="5">
        <v>2015</v>
      </c>
      <c r="F55" s="16">
        <f>27367.15/6</f>
        <v>4561.1916666666666</v>
      </c>
      <c r="G55" s="16">
        <f>11375.78/6</f>
        <v>1895.9633333333334</v>
      </c>
      <c r="H55" s="17" t="s">
        <v>9</v>
      </c>
      <c r="I55" s="16">
        <f>8855.12/6</f>
        <v>1475.8533333333335</v>
      </c>
      <c r="J55" s="16">
        <f>13409.31/6</f>
        <v>2234.8849999999998</v>
      </c>
      <c r="K55" s="16">
        <f>13589.57/6</f>
        <v>2264.9283333333333</v>
      </c>
      <c r="L55" s="16">
        <f>13589.57/6</f>
        <v>2264.9283333333333</v>
      </c>
      <c r="M55" s="16">
        <f>13589.57/6</f>
        <v>2264.9283333333333</v>
      </c>
      <c r="N55" s="16">
        <f>13589.57/6</f>
        <v>2264.9283333333333</v>
      </c>
      <c r="O55" s="16">
        <f>13589.57/6</f>
        <v>2264.9283333333333</v>
      </c>
      <c r="P55" s="21">
        <f t="shared" si="15"/>
        <v>2388.0594444444446</v>
      </c>
      <c r="Q55" s="22">
        <v>124.07</v>
      </c>
      <c r="R55" s="19">
        <v>70</v>
      </c>
      <c r="S55" s="16">
        <v>48.17</v>
      </c>
      <c r="T55" s="18" t="e">
        <f>#REF!/#REF!/6</f>
        <v>#REF!</v>
      </c>
      <c r="U55" s="11" t="e">
        <f>100-#REF!</f>
        <v>#REF!</v>
      </c>
      <c r="V55" s="11" t="e">
        <f t="shared" si="17"/>
        <v>#REF!</v>
      </c>
      <c r="W55" s="9"/>
      <c r="X55" s="10" t="e">
        <f>#REF!+U55</f>
        <v>#REF!</v>
      </c>
    </row>
    <row r="56" spans="1:24" s="3" customFormat="1" ht="12.75" customHeight="1" x14ac:dyDescent="0.25">
      <c r="A56" s="41">
        <v>3</v>
      </c>
      <c r="B56" s="41">
        <v>103</v>
      </c>
      <c r="C56" s="41" t="s">
        <v>93</v>
      </c>
      <c r="D56" s="41" t="s">
        <v>94</v>
      </c>
      <c r="E56" s="5">
        <v>2013</v>
      </c>
      <c r="F56" s="16">
        <f>49000/12</f>
        <v>4083.3333333333335</v>
      </c>
      <c r="G56" s="16">
        <f>20700/12</f>
        <v>1725</v>
      </c>
      <c r="H56" s="17" t="s">
        <v>9</v>
      </c>
      <c r="I56" s="16">
        <f>6800/12</f>
        <v>566.66666666666663</v>
      </c>
      <c r="J56" s="16">
        <f>21675/12</f>
        <v>1806.25</v>
      </c>
      <c r="K56" s="16">
        <f>19267.3/12</f>
        <v>1605.6083333333333</v>
      </c>
      <c r="L56" s="16">
        <f>16294.4/12</f>
        <v>1357.8666666666666</v>
      </c>
      <c r="M56" s="16">
        <f>19321/12</f>
        <v>1610.0833333333333</v>
      </c>
      <c r="N56" s="16">
        <f>21641.3/12</f>
        <v>1803.4416666666666</v>
      </c>
      <c r="O56" s="17" t="s">
        <v>9</v>
      </c>
      <c r="P56" s="21">
        <f t="shared" si="15"/>
        <v>1819.78125</v>
      </c>
      <c r="Q56" s="22">
        <v>86.51</v>
      </c>
      <c r="R56" s="19">
        <v>30</v>
      </c>
      <c r="S56" s="16">
        <v>58.12</v>
      </c>
      <c r="T56" s="18" t="e">
        <f>#REF!/#REF!/6</f>
        <v>#REF!</v>
      </c>
      <c r="U56" s="11" t="e">
        <f>100-#REF!</f>
        <v>#REF!</v>
      </c>
      <c r="V56" s="11" t="e">
        <f t="shared" si="17"/>
        <v>#REF!</v>
      </c>
      <c r="W56" s="9"/>
      <c r="X56" s="10" t="e">
        <f>#REF!+U56</f>
        <v>#REF!</v>
      </c>
    </row>
    <row r="57" spans="1:24" s="3" customFormat="1" ht="12.75" customHeight="1" x14ac:dyDescent="0.25">
      <c r="A57" s="41"/>
      <c r="B57" s="41"/>
      <c r="C57" s="41"/>
      <c r="D57" s="41"/>
      <c r="E57" s="5">
        <v>2014</v>
      </c>
      <c r="F57" s="16">
        <f>44775.8/12</f>
        <v>3731.3166666666671</v>
      </c>
      <c r="G57" s="16">
        <f>21784.3/12</f>
        <v>1815.3583333333333</v>
      </c>
      <c r="H57" s="17" t="s">
        <v>9</v>
      </c>
      <c r="I57" s="16">
        <f>6924.2/12</f>
        <v>577.01666666666665</v>
      </c>
      <c r="J57" s="16">
        <f>21784.2/12</f>
        <v>1815.3500000000001</v>
      </c>
      <c r="K57" s="16">
        <f>21420.2/12</f>
        <v>1785.0166666666667</v>
      </c>
      <c r="L57" s="16">
        <f>20676.2/12</f>
        <v>1723.0166666666667</v>
      </c>
      <c r="M57" s="16">
        <f>18937.1/12</f>
        <v>1578.0916666666665</v>
      </c>
      <c r="N57" s="16">
        <f>21320.2/12</f>
        <v>1776.6833333333334</v>
      </c>
      <c r="O57" s="17" t="s">
        <v>9</v>
      </c>
      <c r="P57" s="21">
        <f t="shared" si="15"/>
        <v>1850.2312500000003</v>
      </c>
      <c r="Q57" s="22">
        <v>85.27</v>
      </c>
      <c r="R57" s="19">
        <v>30</v>
      </c>
      <c r="S57" s="16">
        <v>58</v>
      </c>
      <c r="T57" s="18"/>
      <c r="U57" s="11"/>
      <c r="V57" s="11"/>
      <c r="W57" s="9"/>
      <c r="X57" s="10"/>
    </row>
    <row r="58" spans="1:24" s="3" customFormat="1" ht="12.75" customHeight="1" x14ac:dyDescent="0.25">
      <c r="A58" s="41"/>
      <c r="B58" s="41"/>
      <c r="C58" s="41"/>
      <c r="D58" s="41"/>
      <c r="E58" s="5">
        <v>2015</v>
      </c>
      <c r="F58" s="16">
        <f>24000/6</f>
        <v>4000</v>
      </c>
      <c r="G58" s="16">
        <f>10080/6</f>
        <v>1680</v>
      </c>
      <c r="H58" s="17" t="s">
        <v>9</v>
      </c>
      <c r="I58" s="16">
        <v>500</v>
      </c>
      <c r="J58" s="16">
        <f>10500/6</f>
        <v>1750</v>
      </c>
      <c r="K58" s="16">
        <f>10500/6</f>
        <v>1750</v>
      </c>
      <c r="L58" s="16">
        <f>9537/6</f>
        <v>1589.5</v>
      </c>
      <c r="M58" s="16">
        <f>10409.3/6</f>
        <v>1734.8833333333332</v>
      </c>
      <c r="N58" s="16">
        <f>10048.6/6</f>
        <v>1674.7666666666667</v>
      </c>
      <c r="O58" s="17" t="s">
        <v>9</v>
      </c>
      <c r="P58" s="21">
        <f t="shared" si="15"/>
        <v>1834.89375</v>
      </c>
      <c r="Q58" s="22">
        <v>96.84</v>
      </c>
      <c r="R58" s="19">
        <v>30</v>
      </c>
      <c r="S58" s="16">
        <v>59.71</v>
      </c>
      <c r="T58" s="18" t="e">
        <f>#REF!/#REF!/6</f>
        <v>#REF!</v>
      </c>
      <c r="U58" s="11" t="e">
        <f>100-#REF!</f>
        <v>#REF!</v>
      </c>
      <c r="V58" s="11" t="e">
        <f t="shared" ref="V58" si="18">U58*6</f>
        <v>#REF!</v>
      </c>
      <c r="W58" s="9"/>
      <c r="X58" s="10" t="e">
        <f>#REF!+U58</f>
        <v>#REF!</v>
      </c>
    </row>
    <row r="59" spans="1:24" s="3" customFormat="1" ht="12.75" customHeight="1" x14ac:dyDescent="0.25">
      <c r="A59" s="36" t="s">
        <v>35</v>
      </c>
      <c r="B59" s="37"/>
      <c r="C59" s="37"/>
      <c r="D59" s="37"/>
      <c r="E59" s="38"/>
      <c r="F59" s="25">
        <f>AVERAGE(F50:F58)</f>
        <v>4638.7008333333324</v>
      </c>
      <c r="G59" s="26" t="s">
        <v>9</v>
      </c>
      <c r="H59" s="26" t="s">
        <v>9</v>
      </c>
      <c r="I59" s="26" t="s">
        <v>9</v>
      </c>
      <c r="J59" s="25">
        <f>AVERAGE(J50:J58)</f>
        <v>2238.8476851851851</v>
      </c>
      <c r="K59" s="25">
        <f t="shared" ref="K59:O59" si="19">AVERAGE(K50:K58)</f>
        <v>2099.8053703703704</v>
      </c>
      <c r="L59" s="25">
        <f t="shared" si="19"/>
        <v>2174.6736111111113</v>
      </c>
      <c r="M59" s="25">
        <f t="shared" si="19"/>
        <v>2149.9927777777775</v>
      </c>
      <c r="N59" s="25">
        <f t="shared" si="19"/>
        <v>2228.9884259259261</v>
      </c>
      <c r="O59" s="25">
        <f t="shared" si="19"/>
        <v>2322.5195833333332</v>
      </c>
      <c r="P59" s="26" t="s">
        <v>9</v>
      </c>
      <c r="Q59" s="26" t="s">
        <v>9</v>
      </c>
      <c r="R59" s="27" t="s">
        <v>9</v>
      </c>
      <c r="S59" s="26" t="s">
        <v>9</v>
      </c>
      <c r="T59" s="18"/>
      <c r="U59" s="11"/>
      <c r="V59" s="11"/>
      <c r="W59" s="9"/>
      <c r="X59" s="10"/>
    </row>
    <row r="60" spans="1:24" s="3" customFormat="1" ht="12.75" customHeight="1" x14ac:dyDescent="0.25">
      <c r="A60" s="43" t="s">
        <v>16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18" t="e">
        <f>#REF!/#REF!/6</f>
        <v>#REF!</v>
      </c>
      <c r="U60" s="11" t="e">
        <f>100-#REF!</f>
        <v>#REF!</v>
      </c>
      <c r="V60" s="11" t="e">
        <f t="shared" si="3"/>
        <v>#REF!</v>
      </c>
      <c r="W60" s="9"/>
      <c r="X60" s="10" t="e">
        <f>#REF!+U60</f>
        <v>#REF!</v>
      </c>
    </row>
    <row r="61" spans="1:24" s="3" customFormat="1" ht="15.75" customHeight="1" x14ac:dyDescent="0.25">
      <c r="A61" s="41">
        <v>1</v>
      </c>
      <c r="B61" s="41">
        <v>120</v>
      </c>
      <c r="C61" s="41" t="s">
        <v>121</v>
      </c>
      <c r="D61" s="41" t="s">
        <v>126</v>
      </c>
      <c r="E61" s="5">
        <v>2013</v>
      </c>
      <c r="F61" s="16">
        <f>40288.32/12</f>
        <v>3357.36</v>
      </c>
      <c r="G61" s="16">
        <f>33678.4/12</f>
        <v>2806.5333333333333</v>
      </c>
      <c r="H61" s="16">
        <f>6154/12</f>
        <v>512.83333333333337</v>
      </c>
      <c r="I61" s="20">
        <f>6154/12</f>
        <v>512.83333333333337</v>
      </c>
      <c r="J61" s="20">
        <f>31926.47/12</f>
        <v>2660.5391666666669</v>
      </c>
      <c r="K61" s="20">
        <f>25761.65/12</f>
        <v>2146.8041666666668</v>
      </c>
      <c r="L61" s="20">
        <f>25650.5/12</f>
        <v>2137.5416666666665</v>
      </c>
      <c r="M61" s="20">
        <f>26018.4/12</f>
        <v>2168.2000000000003</v>
      </c>
      <c r="N61" s="20">
        <f>27938.4/12</f>
        <v>2328.2000000000003</v>
      </c>
      <c r="O61" s="20">
        <f>25633.04/12</f>
        <v>2136.0866666666666</v>
      </c>
      <c r="P61" s="24">
        <f t="shared" si="15"/>
        <v>2076.6931666666669</v>
      </c>
      <c r="Q61" s="22">
        <f>238.67/12</f>
        <v>19.889166666666664</v>
      </c>
      <c r="R61" s="19">
        <v>30</v>
      </c>
      <c r="S61" s="16">
        <v>65.94</v>
      </c>
      <c r="T61" s="18"/>
      <c r="U61" s="11"/>
      <c r="V61" s="11"/>
      <c r="W61" s="9"/>
      <c r="X61" s="10"/>
    </row>
    <row r="62" spans="1:24" s="3" customFormat="1" ht="15.75" customHeight="1" x14ac:dyDescent="0.25">
      <c r="A62" s="41"/>
      <c r="B62" s="41"/>
      <c r="C62" s="41"/>
      <c r="D62" s="41"/>
      <c r="E62" s="5">
        <v>2014</v>
      </c>
      <c r="F62" s="16">
        <f>40408.32/12</f>
        <v>3367.36</v>
      </c>
      <c r="G62" s="16">
        <f>33555.4/12</f>
        <v>2796.2833333333333</v>
      </c>
      <c r="H62" s="16">
        <f>6144/12</f>
        <v>512</v>
      </c>
      <c r="I62" s="20">
        <f>6777.53/12</f>
        <v>564.79416666666668</v>
      </c>
      <c r="J62" s="20">
        <f>27652.22/12</f>
        <v>2304.3516666666669</v>
      </c>
      <c r="K62" s="20">
        <f>25885.47/12</f>
        <v>2157.1224999999999</v>
      </c>
      <c r="L62" s="20">
        <f>25735.6/12</f>
        <v>2144.6333333333332</v>
      </c>
      <c r="M62" s="20">
        <f>26138.4/12</f>
        <v>2178.2000000000003</v>
      </c>
      <c r="N62" s="20">
        <f>26138.4/12</f>
        <v>2178.2000000000003</v>
      </c>
      <c r="O62" s="20">
        <f>26035.04/12</f>
        <v>2169.5866666666666</v>
      </c>
      <c r="P62" s="24">
        <f t="shared" si="15"/>
        <v>2037.2531666666666</v>
      </c>
      <c r="Q62" s="22">
        <f>220/12</f>
        <v>18.333333333333332</v>
      </c>
      <c r="R62" s="19">
        <v>30</v>
      </c>
      <c r="S62" s="16">
        <v>67.180000000000007</v>
      </c>
      <c r="T62" s="18" t="e">
        <f>#REF!/#REF!/6</f>
        <v>#REF!</v>
      </c>
      <c r="U62" s="11" t="e">
        <f>100-#REF!</f>
        <v>#REF!</v>
      </c>
      <c r="V62" s="11" t="e">
        <f t="shared" ref="V62" si="20">U62*6</f>
        <v>#REF!</v>
      </c>
      <c r="W62" s="9"/>
      <c r="X62" s="10" t="e">
        <f>#REF!+U62</f>
        <v>#REF!</v>
      </c>
    </row>
    <row r="63" spans="1:24" s="3" customFormat="1" ht="15.75" customHeight="1" x14ac:dyDescent="0.25">
      <c r="A63" s="41"/>
      <c r="B63" s="41"/>
      <c r="C63" s="41"/>
      <c r="D63" s="41"/>
      <c r="E63" s="5">
        <v>2015</v>
      </c>
      <c r="F63" s="16">
        <f>21172.32/6</f>
        <v>3528.72</v>
      </c>
      <c r="G63" s="16">
        <f>17883.37/6</f>
        <v>2980.5616666666665</v>
      </c>
      <c r="H63" s="16">
        <f>3159/6</f>
        <v>526.5</v>
      </c>
      <c r="I63" s="20">
        <f>3144.98/6</f>
        <v>524.1633333333333</v>
      </c>
      <c r="J63" s="20">
        <f>13665.12/6</f>
        <v>2277.52</v>
      </c>
      <c r="K63" s="20">
        <f>13193.72/6</f>
        <v>2198.9533333333334</v>
      </c>
      <c r="L63" s="20">
        <f>13369.6/6</f>
        <v>2228.2666666666669</v>
      </c>
      <c r="M63" s="20">
        <f>13478.4/6</f>
        <v>2246.4</v>
      </c>
      <c r="N63" s="20">
        <f>13478.4/6</f>
        <v>2246.4</v>
      </c>
      <c r="O63" s="20">
        <f>13478.4/6</f>
        <v>2246.4</v>
      </c>
      <c r="P63" s="24">
        <f t="shared" si="15"/>
        <v>2100.3885</v>
      </c>
      <c r="Q63" s="22">
        <f>180/6</f>
        <v>30</v>
      </c>
      <c r="R63" s="19">
        <v>30</v>
      </c>
      <c r="S63" s="16">
        <v>68.39</v>
      </c>
      <c r="T63" s="18"/>
      <c r="U63" s="11"/>
      <c r="V63" s="11"/>
      <c r="W63" s="9"/>
      <c r="X63" s="10"/>
    </row>
    <row r="64" spans="1:24" s="3" customFormat="1" ht="15.75" customHeight="1" x14ac:dyDescent="0.25">
      <c r="A64" s="41">
        <v>2</v>
      </c>
      <c r="B64" s="41">
        <v>132</v>
      </c>
      <c r="C64" s="41" t="s">
        <v>122</v>
      </c>
      <c r="D64" s="41" t="s">
        <v>127</v>
      </c>
      <c r="E64" s="5">
        <v>2013</v>
      </c>
      <c r="F64" s="16">
        <f>60377.53/12</f>
        <v>5031.4608333333335</v>
      </c>
      <c r="G64" s="16" t="s">
        <v>9</v>
      </c>
      <c r="H64" s="17" t="s">
        <v>9</v>
      </c>
      <c r="I64" s="20">
        <f>18470.9/12</f>
        <v>1539.2416666666668</v>
      </c>
      <c r="J64" s="20">
        <f>41891.61/12</f>
        <v>3490.9675000000002</v>
      </c>
      <c r="K64" s="20">
        <f>35048.54/12</f>
        <v>2920.7116666666666</v>
      </c>
      <c r="L64" s="20">
        <f>37943.75/12</f>
        <v>3161.9791666666665</v>
      </c>
      <c r="M64" s="20">
        <f>44823.13/12</f>
        <v>3735.2608333333333</v>
      </c>
      <c r="N64" s="20">
        <f>44942.77/12</f>
        <v>3745.2308333333331</v>
      </c>
      <c r="O64" s="20">
        <f>50948.69/12</f>
        <v>4245.7241666666669</v>
      </c>
      <c r="P64" s="24">
        <f t="shared" si="15"/>
        <v>3483.8220833333335</v>
      </c>
      <c r="Q64" s="22">
        <v>43.62</v>
      </c>
      <c r="R64" s="19">
        <v>60</v>
      </c>
      <c r="S64" s="16">
        <v>74</v>
      </c>
      <c r="T64" s="18"/>
      <c r="U64" s="11"/>
      <c r="V64" s="11"/>
      <c r="W64" s="9"/>
      <c r="X64" s="10"/>
    </row>
    <row r="65" spans="1:24" s="3" customFormat="1" ht="15.75" customHeight="1" x14ac:dyDescent="0.25">
      <c r="A65" s="41"/>
      <c r="B65" s="41"/>
      <c r="C65" s="41"/>
      <c r="D65" s="41"/>
      <c r="E65" s="5">
        <v>2014</v>
      </c>
      <c r="F65" s="16">
        <f>63971.51/12</f>
        <v>5330.9591666666665</v>
      </c>
      <c r="G65" s="16" t="s">
        <v>9</v>
      </c>
      <c r="H65" s="17" t="s">
        <v>9</v>
      </c>
      <c r="I65" s="20">
        <f>18206.28/12</f>
        <v>1517.1899999999998</v>
      </c>
      <c r="J65" s="20">
        <f>45360.31/12</f>
        <v>3780.0258333333331</v>
      </c>
      <c r="K65" s="20">
        <f>37354/12</f>
        <v>3112.8333333333335</v>
      </c>
      <c r="L65" s="20">
        <f>38337.23/12</f>
        <v>3194.7691666666669</v>
      </c>
      <c r="M65" s="20">
        <f>48105.39/12</f>
        <v>4008.7824999999998</v>
      </c>
      <c r="N65" s="20">
        <f>48289.1/12</f>
        <v>4024.0916666666667</v>
      </c>
      <c r="O65" s="20">
        <f>53162.21/12</f>
        <v>4430.1841666666669</v>
      </c>
      <c r="P65" s="24">
        <f t="shared" si="15"/>
        <v>3674.8544791666668</v>
      </c>
      <c r="Q65" s="22">
        <v>43.62</v>
      </c>
      <c r="R65" s="19">
        <v>60</v>
      </c>
      <c r="S65" s="16">
        <v>76</v>
      </c>
      <c r="T65" s="18" t="e">
        <f>#REF!/#REF!/6</f>
        <v>#REF!</v>
      </c>
      <c r="U65" s="11" t="e">
        <f>100-#REF!</f>
        <v>#REF!</v>
      </c>
      <c r="V65" s="11" t="e">
        <f t="shared" ref="V65:V67" si="21">U65*6</f>
        <v>#REF!</v>
      </c>
      <c r="W65" s="9"/>
      <c r="X65" s="10" t="e">
        <f>#REF!+U65</f>
        <v>#REF!</v>
      </c>
    </row>
    <row r="66" spans="1:24" s="3" customFormat="1" ht="15.75" customHeight="1" x14ac:dyDescent="0.25">
      <c r="A66" s="41"/>
      <c r="B66" s="41"/>
      <c r="C66" s="41"/>
      <c r="D66" s="41"/>
      <c r="E66" s="5">
        <v>2015</v>
      </c>
      <c r="F66" s="16">
        <f>31149.28/6</f>
        <v>5191.5466666666662</v>
      </c>
      <c r="G66" s="16" t="s">
        <v>9</v>
      </c>
      <c r="H66" s="17" t="s">
        <v>9</v>
      </c>
      <c r="I66" s="20">
        <f>7358.17/6</f>
        <v>1226.3616666666667</v>
      </c>
      <c r="J66" s="20">
        <f>21732.54/6</f>
        <v>3622.09</v>
      </c>
      <c r="K66" s="20">
        <f>18357.37/6</f>
        <v>3059.5616666666665</v>
      </c>
      <c r="L66" s="20">
        <f>21996.82/6</f>
        <v>3666.1366666666668</v>
      </c>
      <c r="M66" s="20">
        <f>23396.61/6</f>
        <v>3899.4349999999999</v>
      </c>
      <c r="N66" s="20">
        <f>23396.61/6</f>
        <v>3899.4349999999999</v>
      </c>
      <c r="O66" s="20">
        <f>26196.18/6</f>
        <v>4366.03</v>
      </c>
      <c r="P66" s="24">
        <f t="shared" si="15"/>
        <v>3616.3245833333335</v>
      </c>
      <c r="Q66" s="22">
        <v>47.64</v>
      </c>
      <c r="R66" s="19">
        <v>60</v>
      </c>
      <c r="S66" s="16">
        <v>75</v>
      </c>
      <c r="T66" s="18" t="e">
        <f>#REF!/#REF!/6</f>
        <v>#REF!</v>
      </c>
      <c r="U66" s="11" t="e">
        <f>100-#REF!</f>
        <v>#REF!</v>
      </c>
      <c r="V66" s="11" t="e">
        <f t="shared" si="21"/>
        <v>#REF!</v>
      </c>
      <c r="W66" s="9"/>
      <c r="X66" s="10" t="e">
        <f>#REF!+U66</f>
        <v>#REF!</v>
      </c>
    </row>
    <row r="67" spans="1:24" s="3" customFormat="1" ht="12.75" customHeight="1" x14ac:dyDescent="0.25">
      <c r="A67" s="41">
        <v>3</v>
      </c>
      <c r="B67" s="41">
        <v>137</v>
      </c>
      <c r="C67" s="41" t="s">
        <v>123</v>
      </c>
      <c r="D67" s="41" t="s">
        <v>124</v>
      </c>
      <c r="E67" s="5">
        <v>2013</v>
      </c>
      <c r="F67" s="16">
        <f>54566.41/12</f>
        <v>4547.2008333333333</v>
      </c>
      <c r="G67" s="16" t="s">
        <v>9</v>
      </c>
      <c r="H67" s="17" t="s">
        <v>9</v>
      </c>
      <c r="I67" s="20">
        <f>23617.37/12</f>
        <v>1968.1141666666665</v>
      </c>
      <c r="J67" s="20">
        <f>29857.39/12</f>
        <v>2488.1158333333333</v>
      </c>
      <c r="K67" s="20">
        <f>29561.45/12</f>
        <v>2463.4541666666669</v>
      </c>
      <c r="L67" s="20">
        <f>27375.66/12</f>
        <v>2281.3049999999998</v>
      </c>
      <c r="M67" s="20">
        <f>24626.08/12</f>
        <v>2052.1733333333336</v>
      </c>
      <c r="N67" s="20">
        <f>39131.23/12</f>
        <v>3260.9358333333334</v>
      </c>
      <c r="O67" s="20">
        <f>44468.56/12</f>
        <v>3705.7133333333331</v>
      </c>
      <c r="P67" s="24">
        <f t="shared" si="15"/>
        <v>2845.8765625000001</v>
      </c>
      <c r="Q67" s="22">
        <v>56.16</v>
      </c>
      <c r="R67" s="19">
        <v>46</v>
      </c>
      <c r="S67" s="16">
        <v>56.4</v>
      </c>
      <c r="T67" s="18" t="e">
        <f>#REF!/S170/6</f>
        <v>#REF!</v>
      </c>
      <c r="U67" s="11" t="e">
        <f>100-#REF!</f>
        <v>#REF!</v>
      </c>
      <c r="V67" s="11" t="e">
        <f t="shared" si="21"/>
        <v>#REF!</v>
      </c>
      <c r="W67" s="9"/>
      <c r="X67" s="10" t="e">
        <f>#REF!+U67</f>
        <v>#REF!</v>
      </c>
    </row>
    <row r="68" spans="1:24" s="3" customFormat="1" ht="12.75" customHeight="1" x14ac:dyDescent="0.25">
      <c r="A68" s="41"/>
      <c r="B68" s="41"/>
      <c r="C68" s="41"/>
      <c r="D68" s="41"/>
      <c r="E68" s="5">
        <v>2014</v>
      </c>
      <c r="F68" s="16">
        <f>59247.07/12</f>
        <v>4937.2558333333336</v>
      </c>
      <c r="G68" s="16" t="s">
        <v>9</v>
      </c>
      <c r="H68" s="17" t="s">
        <v>9</v>
      </c>
      <c r="I68" s="20">
        <f>20983.08/12</f>
        <v>1748.5900000000001</v>
      </c>
      <c r="J68" s="20">
        <f>30942.96/12</f>
        <v>2578.58</v>
      </c>
      <c r="K68" s="20">
        <f>31740.65/12</f>
        <v>2645.0541666666668</v>
      </c>
      <c r="L68" s="20">
        <f>31177.6/12</f>
        <v>2598.1333333333332</v>
      </c>
      <c r="M68" s="20">
        <f>22828.2/12</f>
        <v>1902.3500000000001</v>
      </c>
      <c r="N68" s="20">
        <f>41054.74/12</f>
        <v>3421.228333333333</v>
      </c>
      <c r="O68" s="20">
        <f>48226.37/12</f>
        <v>4018.8641666666667</v>
      </c>
      <c r="P68" s="24">
        <f t="shared" si="15"/>
        <v>2981.2569791666665</v>
      </c>
      <c r="Q68" s="22">
        <v>57.06</v>
      </c>
      <c r="R68" s="19">
        <v>46</v>
      </c>
      <c r="S68" s="16">
        <v>61.69</v>
      </c>
      <c r="T68" s="18"/>
      <c r="U68" s="11"/>
      <c r="V68" s="11"/>
      <c r="W68" s="9"/>
      <c r="X68" s="10"/>
    </row>
    <row r="69" spans="1:24" s="3" customFormat="1" ht="12.75" customHeight="1" x14ac:dyDescent="0.25">
      <c r="A69" s="41"/>
      <c r="B69" s="41"/>
      <c r="C69" s="41"/>
      <c r="D69" s="41"/>
      <c r="E69" s="5">
        <v>2015</v>
      </c>
      <c r="F69" s="16">
        <f>29500.17/6</f>
        <v>4916.6949999999997</v>
      </c>
      <c r="G69" s="16" t="s">
        <v>9</v>
      </c>
      <c r="H69" s="17" t="s">
        <v>9</v>
      </c>
      <c r="I69" s="20">
        <f>7225.44/6</f>
        <v>1204.24</v>
      </c>
      <c r="J69" s="20">
        <f>16110.31/6</f>
        <v>2685.0516666666667</v>
      </c>
      <c r="K69" s="20">
        <f>15044.55/6</f>
        <v>2507.4249999999997</v>
      </c>
      <c r="L69" s="20">
        <f>17764.14/6</f>
        <v>2960.69</v>
      </c>
      <c r="M69" s="20">
        <f>13860.67/6</f>
        <v>2310.1116666666667</v>
      </c>
      <c r="N69" s="20">
        <f>21270.76/6</f>
        <v>3545.1266666666666</v>
      </c>
      <c r="O69" s="20">
        <f>23377.64/6</f>
        <v>3896.2733333333331</v>
      </c>
      <c r="P69" s="24">
        <f t="shared" si="15"/>
        <v>3003.2016666666668</v>
      </c>
      <c r="Q69" s="22">
        <v>59.1</v>
      </c>
      <c r="R69" s="19">
        <v>46</v>
      </c>
      <c r="S69" s="16">
        <v>63.7</v>
      </c>
      <c r="T69" s="18" t="e">
        <f>#REF!/#REF!/6</f>
        <v>#REF!</v>
      </c>
      <c r="U69" s="11" t="e">
        <f>100-#REF!</f>
        <v>#REF!</v>
      </c>
      <c r="V69" s="11" t="e">
        <f t="shared" ref="V69" si="22">U69*6</f>
        <v>#REF!</v>
      </c>
      <c r="W69" s="9"/>
      <c r="X69" s="10" t="e">
        <f>#REF!+U69</f>
        <v>#REF!</v>
      </c>
    </row>
    <row r="70" spans="1:24" s="3" customFormat="1" ht="12.75" customHeight="1" x14ac:dyDescent="0.25">
      <c r="A70" s="36" t="s">
        <v>35</v>
      </c>
      <c r="B70" s="37"/>
      <c r="C70" s="37"/>
      <c r="D70" s="37"/>
      <c r="E70" s="38"/>
      <c r="F70" s="25">
        <f>AVERAGE(F61:F69)</f>
        <v>4467.6175925925927</v>
      </c>
      <c r="G70" s="26" t="s">
        <v>9</v>
      </c>
      <c r="H70" s="26" t="s">
        <v>9</v>
      </c>
      <c r="I70" s="26" t="s">
        <v>9</v>
      </c>
      <c r="J70" s="25">
        <f t="shared" ref="J70:O70" si="23">AVERAGE(J61:J69)</f>
        <v>2876.3601851851854</v>
      </c>
      <c r="K70" s="25">
        <f t="shared" si="23"/>
        <v>2579.1022222222223</v>
      </c>
      <c r="L70" s="25">
        <f t="shared" si="23"/>
        <v>2708.1616666666664</v>
      </c>
      <c r="M70" s="25">
        <f t="shared" si="23"/>
        <v>2722.3237037037038</v>
      </c>
      <c r="N70" s="25">
        <f t="shared" si="23"/>
        <v>3183.2053703703705</v>
      </c>
      <c r="O70" s="25">
        <f t="shared" si="23"/>
        <v>3468.3180555555555</v>
      </c>
      <c r="P70" s="26" t="s">
        <v>9</v>
      </c>
      <c r="Q70" s="26" t="s">
        <v>9</v>
      </c>
      <c r="R70" s="27" t="s">
        <v>9</v>
      </c>
      <c r="S70" s="26" t="s">
        <v>9</v>
      </c>
      <c r="T70" s="18"/>
      <c r="U70" s="11"/>
      <c r="V70" s="11"/>
      <c r="W70" s="9"/>
      <c r="X70" s="10"/>
    </row>
    <row r="71" spans="1:24" s="3" customFormat="1" ht="12.75" customHeight="1" x14ac:dyDescent="0.25">
      <c r="A71" s="43" t="s">
        <v>17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18" t="e">
        <f>#REF!/#REF!/6</f>
        <v>#REF!</v>
      </c>
      <c r="U71" s="11" t="e">
        <f>100-#REF!</f>
        <v>#REF!</v>
      </c>
      <c r="V71" s="11" t="e">
        <f t="shared" si="3"/>
        <v>#REF!</v>
      </c>
      <c r="W71" s="9"/>
      <c r="X71" s="10" t="e">
        <f>#REF!+U71</f>
        <v>#REF!</v>
      </c>
    </row>
    <row r="72" spans="1:24" s="3" customFormat="1" ht="12.75" customHeight="1" x14ac:dyDescent="0.25">
      <c r="A72" s="41">
        <v>1</v>
      </c>
      <c r="B72" s="41">
        <v>138</v>
      </c>
      <c r="C72" s="41" t="s">
        <v>3</v>
      </c>
      <c r="D72" s="41" t="s">
        <v>95</v>
      </c>
      <c r="E72" s="5">
        <v>2013</v>
      </c>
      <c r="F72" s="16">
        <f>51750/12</f>
        <v>4312.5</v>
      </c>
      <c r="G72" s="16">
        <f>37800/12</f>
        <v>3150</v>
      </c>
      <c r="H72" s="17" t="s">
        <v>9</v>
      </c>
      <c r="I72" s="20">
        <f>9960/12</f>
        <v>830</v>
      </c>
      <c r="J72" s="20">
        <f>22680/12</f>
        <v>1890</v>
      </c>
      <c r="K72" s="20">
        <f>22680/12</f>
        <v>1890</v>
      </c>
      <c r="L72" s="20">
        <f>22680/12</f>
        <v>1890</v>
      </c>
      <c r="M72" s="20">
        <f>22680/12</f>
        <v>1890</v>
      </c>
      <c r="N72" s="20">
        <f>22680/12</f>
        <v>1890</v>
      </c>
      <c r="O72" s="17" t="s">
        <v>9</v>
      </c>
      <c r="P72" s="21">
        <f t="shared" ref="P72:P80" si="24">AVERAGE(F72:O72)</f>
        <v>2217.8125</v>
      </c>
      <c r="Q72" s="22">
        <f>100/12</f>
        <v>8.3333333333333339</v>
      </c>
      <c r="R72" s="19">
        <v>30</v>
      </c>
      <c r="S72" s="16">
        <v>57</v>
      </c>
      <c r="T72" s="18"/>
      <c r="U72" s="11"/>
      <c r="V72" s="11"/>
      <c r="W72" s="9"/>
      <c r="X72" s="10"/>
    </row>
    <row r="73" spans="1:24" s="3" customFormat="1" ht="12.75" customHeight="1" x14ac:dyDescent="0.25">
      <c r="A73" s="41"/>
      <c r="B73" s="41"/>
      <c r="C73" s="41"/>
      <c r="D73" s="41"/>
      <c r="E73" s="5">
        <v>2014</v>
      </c>
      <c r="F73" s="16">
        <f>51750/12</f>
        <v>4312.5</v>
      </c>
      <c r="G73" s="16">
        <f>37800/12</f>
        <v>3150</v>
      </c>
      <c r="H73" s="17" t="s">
        <v>9</v>
      </c>
      <c r="I73" s="20">
        <f>9960/12</f>
        <v>830</v>
      </c>
      <c r="J73" s="20">
        <f>23880/12</f>
        <v>1990</v>
      </c>
      <c r="K73" s="20">
        <f>23880/12</f>
        <v>1990</v>
      </c>
      <c r="L73" s="20">
        <f>23880/12</f>
        <v>1990</v>
      </c>
      <c r="M73" s="20">
        <f>23880/12</f>
        <v>1990</v>
      </c>
      <c r="N73" s="20">
        <f>23880/12</f>
        <v>1990</v>
      </c>
      <c r="O73" s="17" t="s">
        <v>9</v>
      </c>
      <c r="P73" s="21">
        <f t="shared" si="24"/>
        <v>2280.3125</v>
      </c>
      <c r="Q73" s="22">
        <f>100/12</f>
        <v>8.3333333333333339</v>
      </c>
      <c r="R73" s="19">
        <v>30</v>
      </c>
      <c r="S73" s="16">
        <v>59</v>
      </c>
      <c r="T73" s="18" t="e">
        <f>#REF!/#REF!/6</f>
        <v>#REF!</v>
      </c>
      <c r="U73" s="11" t="e">
        <f>100-#REF!</f>
        <v>#REF!</v>
      </c>
      <c r="V73" s="11" t="e">
        <f t="shared" ref="V73" si="25">U73*6</f>
        <v>#REF!</v>
      </c>
      <c r="W73" s="9"/>
      <c r="X73" s="10" t="e">
        <f>#REF!+U73</f>
        <v>#REF!</v>
      </c>
    </row>
    <row r="74" spans="1:24" s="3" customFormat="1" ht="12.75" customHeight="1" x14ac:dyDescent="0.25">
      <c r="A74" s="41"/>
      <c r="B74" s="41"/>
      <c r="C74" s="41"/>
      <c r="D74" s="41"/>
      <c r="E74" s="5">
        <v>2015</v>
      </c>
      <c r="F74" s="16">
        <f>25875/6</f>
        <v>4312.5</v>
      </c>
      <c r="G74" s="16">
        <f>18900/6</f>
        <v>3150</v>
      </c>
      <c r="H74" s="17" t="s">
        <v>9</v>
      </c>
      <c r="I74" s="20">
        <f>4980/6</f>
        <v>830</v>
      </c>
      <c r="J74" s="20">
        <f>11940/6</f>
        <v>1990</v>
      </c>
      <c r="K74" s="20">
        <f>11940/6</f>
        <v>1990</v>
      </c>
      <c r="L74" s="20">
        <f>11940/6</f>
        <v>1990</v>
      </c>
      <c r="M74" s="20">
        <f>11940/6</f>
        <v>1990</v>
      </c>
      <c r="N74" s="20">
        <f>11940/6</f>
        <v>1990</v>
      </c>
      <c r="O74" s="17" t="s">
        <v>9</v>
      </c>
      <c r="P74" s="21">
        <f t="shared" si="24"/>
        <v>2280.3125</v>
      </c>
      <c r="Q74" s="22">
        <f>50/6</f>
        <v>8.3333333333333339</v>
      </c>
      <c r="R74" s="19">
        <v>30</v>
      </c>
      <c r="S74" s="16">
        <v>60</v>
      </c>
      <c r="T74" s="18"/>
      <c r="U74" s="11"/>
      <c r="V74" s="11"/>
      <c r="W74" s="9"/>
      <c r="X74" s="10"/>
    </row>
    <row r="75" spans="1:24" s="3" customFormat="1" ht="15.75" customHeight="1" x14ac:dyDescent="0.25">
      <c r="A75" s="41">
        <v>2</v>
      </c>
      <c r="B75" s="41">
        <v>142</v>
      </c>
      <c r="C75" s="41" t="s">
        <v>96</v>
      </c>
      <c r="D75" s="41" t="s">
        <v>97</v>
      </c>
      <c r="E75" s="5">
        <v>2013</v>
      </c>
      <c r="F75" s="16">
        <f>36756/12</f>
        <v>3063</v>
      </c>
      <c r="G75" s="16">
        <f>15180/12</f>
        <v>1265</v>
      </c>
      <c r="H75" s="17" t="s">
        <v>9</v>
      </c>
      <c r="I75" s="20">
        <f>22268/12</f>
        <v>1855.6666666666667</v>
      </c>
      <c r="J75" s="20">
        <f>29112/12</f>
        <v>2426</v>
      </c>
      <c r="K75" s="20">
        <f>20898/12</f>
        <v>1741.5</v>
      </c>
      <c r="L75" s="20">
        <f>26352/12</f>
        <v>2196</v>
      </c>
      <c r="M75" s="20">
        <f>17253/12</f>
        <v>1437.75</v>
      </c>
      <c r="N75" s="20">
        <f>21994/12</f>
        <v>1832.8333333333333</v>
      </c>
      <c r="O75" s="17" t="s">
        <v>9</v>
      </c>
      <c r="P75" s="21">
        <f t="shared" si="24"/>
        <v>1977.2187500000002</v>
      </c>
      <c r="Q75" s="23" t="s">
        <v>9</v>
      </c>
      <c r="R75" s="19">
        <v>36</v>
      </c>
      <c r="S75" s="16">
        <v>54.05</v>
      </c>
      <c r="T75" s="18"/>
      <c r="U75" s="11"/>
      <c r="V75" s="11"/>
      <c r="W75" s="9"/>
      <c r="X75" s="10"/>
    </row>
    <row r="76" spans="1:24" s="3" customFormat="1" ht="15.75" customHeight="1" x14ac:dyDescent="0.25">
      <c r="A76" s="41"/>
      <c r="B76" s="41"/>
      <c r="C76" s="41"/>
      <c r="D76" s="41"/>
      <c r="E76" s="5">
        <v>2014</v>
      </c>
      <c r="F76" s="16">
        <f>37869/12</f>
        <v>3155.75</v>
      </c>
      <c r="G76" s="16">
        <f>17358/12</f>
        <v>1446.5</v>
      </c>
      <c r="H76" s="17" t="s">
        <v>9</v>
      </c>
      <c r="I76" s="20">
        <f>24817/12</f>
        <v>2068.0833333333335</v>
      </c>
      <c r="J76" s="20">
        <f>29112/12</f>
        <v>2426</v>
      </c>
      <c r="K76" s="20">
        <f>24400/12</f>
        <v>2033.3333333333333</v>
      </c>
      <c r="L76" s="20">
        <f>26866/12</f>
        <v>2238.8333333333335</v>
      </c>
      <c r="M76" s="20">
        <f>19587/12</f>
        <v>1632.25</v>
      </c>
      <c r="N76" s="20">
        <f>24133/12</f>
        <v>2011.0833333333333</v>
      </c>
      <c r="O76" s="17" t="s">
        <v>9</v>
      </c>
      <c r="P76" s="21">
        <f t="shared" si="24"/>
        <v>2126.479166666667</v>
      </c>
      <c r="Q76" s="23" t="s">
        <v>9</v>
      </c>
      <c r="R76" s="19">
        <v>36</v>
      </c>
      <c r="S76" s="16">
        <v>52.21</v>
      </c>
      <c r="T76" s="18" t="e">
        <f>#REF!/#REF!/6</f>
        <v>#REF!</v>
      </c>
      <c r="U76" s="11" t="e">
        <f>100-#REF!</f>
        <v>#REF!</v>
      </c>
      <c r="V76" s="11" t="e">
        <f t="shared" ref="V76:V78" si="26">U76*6</f>
        <v>#REF!</v>
      </c>
      <c r="W76" s="9"/>
      <c r="X76" s="10" t="e">
        <f>#REF!+U76</f>
        <v>#REF!</v>
      </c>
    </row>
    <row r="77" spans="1:24" s="3" customFormat="1" ht="15.75" customHeight="1" x14ac:dyDescent="0.25">
      <c r="A77" s="41"/>
      <c r="B77" s="41"/>
      <c r="C77" s="41"/>
      <c r="D77" s="41"/>
      <c r="E77" s="5">
        <v>2015</v>
      </c>
      <c r="F77" s="16">
        <f>19248/6</f>
        <v>3208</v>
      </c>
      <c r="G77" s="16">
        <f>7590/6</f>
        <v>1265</v>
      </c>
      <c r="H77" s="17" t="s">
        <v>9</v>
      </c>
      <c r="I77" s="20">
        <f>12042/6</f>
        <v>2007</v>
      </c>
      <c r="J77" s="20">
        <f>15426/6</f>
        <v>2571</v>
      </c>
      <c r="K77" s="20">
        <f>11739/6</f>
        <v>1956.5</v>
      </c>
      <c r="L77" s="20">
        <f>14046/6</f>
        <v>2341</v>
      </c>
      <c r="M77" s="20">
        <f>11910/6</f>
        <v>1985</v>
      </c>
      <c r="N77" s="20">
        <f>11994/6</f>
        <v>1999</v>
      </c>
      <c r="O77" s="17" t="s">
        <v>9</v>
      </c>
      <c r="P77" s="21">
        <f t="shared" si="24"/>
        <v>2166.5625</v>
      </c>
      <c r="Q77" s="23" t="s">
        <v>9</v>
      </c>
      <c r="R77" s="19">
        <v>36</v>
      </c>
      <c r="S77" s="16">
        <v>54.52</v>
      </c>
      <c r="T77" s="18" t="e">
        <f>#REF!/#REF!/6</f>
        <v>#REF!</v>
      </c>
      <c r="U77" s="11" t="e">
        <f>100-#REF!</f>
        <v>#REF!</v>
      </c>
      <c r="V77" s="11" t="e">
        <f t="shared" si="26"/>
        <v>#REF!</v>
      </c>
      <c r="W77" s="9"/>
      <c r="X77" s="10" t="e">
        <f>#REF!+U77</f>
        <v>#REF!</v>
      </c>
    </row>
    <row r="78" spans="1:24" s="3" customFormat="1" ht="12.75" customHeight="1" x14ac:dyDescent="0.25">
      <c r="A78" s="41">
        <v>3</v>
      </c>
      <c r="B78" s="41">
        <v>178</v>
      </c>
      <c r="C78" s="41" t="s">
        <v>98</v>
      </c>
      <c r="D78" s="41" t="s">
        <v>99</v>
      </c>
      <c r="E78" s="5">
        <v>2013</v>
      </c>
      <c r="F78" s="16">
        <f>41549/12</f>
        <v>3462.4166666666665</v>
      </c>
      <c r="G78" s="16">
        <f>18085/12</f>
        <v>1507.0833333333333</v>
      </c>
      <c r="H78" s="17" t="s">
        <v>9</v>
      </c>
      <c r="I78" s="20">
        <f>31814/12</f>
        <v>2651.1666666666665</v>
      </c>
      <c r="J78" s="20">
        <f>22649/12</f>
        <v>1887.4166666666667</v>
      </c>
      <c r="K78" s="20">
        <f>25959/12</f>
        <v>2163.25</v>
      </c>
      <c r="L78" s="20">
        <f>29390/12</f>
        <v>2449.1666666666665</v>
      </c>
      <c r="M78" s="20">
        <f>29917/12</f>
        <v>2493.0833333333335</v>
      </c>
      <c r="N78" s="20">
        <f>28521/12</f>
        <v>2376.75</v>
      </c>
      <c r="O78" s="16">
        <f>26634/12</f>
        <v>2219.5</v>
      </c>
      <c r="P78" s="21">
        <f t="shared" si="24"/>
        <v>2356.6481481481478</v>
      </c>
      <c r="Q78" s="22">
        <f>30800/40/12</f>
        <v>64.166666666666671</v>
      </c>
      <c r="R78" s="19">
        <v>40</v>
      </c>
      <c r="S78" s="16">
        <v>62.95</v>
      </c>
      <c r="T78" s="18" t="e">
        <f>#REF!/#REF!/6</f>
        <v>#REF!</v>
      </c>
      <c r="U78" s="11" t="e">
        <f>100-#REF!</f>
        <v>#REF!</v>
      </c>
      <c r="V78" s="11" t="e">
        <f t="shared" si="26"/>
        <v>#REF!</v>
      </c>
      <c r="W78" s="9"/>
      <c r="X78" s="10" t="e">
        <f>#REF!+U78</f>
        <v>#REF!</v>
      </c>
    </row>
    <row r="79" spans="1:24" s="3" customFormat="1" ht="12.75" customHeight="1" x14ac:dyDescent="0.25">
      <c r="A79" s="41"/>
      <c r="B79" s="41"/>
      <c r="C79" s="41"/>
      <c r="D79" s="41"/>
      <c r="E79" s="5">
        <v>2014</v>
      </c>
      <c r="F79" s="16">
        <f>43598/12</f>
        <v>3633.1666666666665</v>
      </c>
      <c r="G79" s="16">
        <f>19758/12</f>
        <v>1646.5</v>
      </c>
      <c r="H79" s="17" t="s">
        <v>9</v>
      </c>
      <c r="I79" s="20">
        <f>29937/12</f>
        <v>2494.75</v>
      </c>
      <c r="J79" s="20">
        <f>10370/12</f>
        <v>864.16666666666663</v>
      </c>
      <c r="K79" s="20">
        <f>27737/12</f>
        <v>2311.4166666666665</v>
      </c>
      <c r="L79" s="20">
        <f>30588/12</f>
        <v>2549</v>
      </c>
      <c r="M79" s="20">
        <f>29270/12</f>
        <v>2439.1666666666665</v>
      </c>
      <c r="N79" s="20">
        <f>30730/12</f>
        <v>2560.8333333333335</v>
      </c>
      <c r="O79" s="16">
        <f>25369/12</f>
        <v>2114.0833333333335</v>
      </c>
      <c r="P79" s="21">
        <f t="shared" si="24"/>
        <v>2290.3425925925922</v>
      </c>
      <c r="Q79" s="22">
        <v>64.17</v>
      </c>
      <c r="R79" s="19">
        <v>40</v>
      </c>
      <c r="S79" s="16">
        <v>62.4</v>
      </c>
      <c r="T79" s="18"/>
      <c r="U79" s="11"/>
      <c r="V79" s="11"/>
      <c r="W79" s="9"/>
      <c r="X79" s="10"/>
    </row>
    <row r="80" spans="1:24" s="3" customFormat="1" ht="12.75" customHeight="1" x14ac:dyDescent="0.25">
      <c r="A80" s="41"/>
      <c r="B80" s="41"/>
      <c r="C80" s="41"/>
      <c r="D80" s="41"/>
      <c r="E80" s="5">
        <v>2015</v>
      </c>
      <c r="F80" s="16">
        <f>22950/6</f>
        <v>3825</v>
      </c>
      <c r="G80" s="16">
        <f>9408/6</f>
        <v>1568</v>
      </c>
      <c r="H80" s="17" t="s">
        <v>9</v>
      </c>
      <c r="I80" s="20">
        <f>16218/6</f>
        <v>2703</v>
      </c>
      <c r="J80" s="20">
        <f>9749/6</f>
        <v>1624.8333333333333</v>
      </c>
      <c r="K80" s="20">
        <f>13681/6</f>
        <v>2280.1666666666665</v>
      </c>
      <c r="L80" s="20">
        <f>14952/6</f>
        <v>2492</v>
      </c>
      <c r="M80" s="20">
        <f>14952/6</f>
        <v>2492</v>
      </c>
      <c r="N80" s="20">
        <f>14400/6</f>
        <v>2400</v>
      </c>
      <c r="O80" s="16">
        <f>12904/6</f>
        <v>2150.6666666666665</v>
      </c>
      <c r="P80" s="21">
        <f t="shared" si="24"/>
        <v>2392.8518518518522</v>
      </c>
      <c r="Q80" s="22">
        <f>16800/40/6</f>
        <v>70</v>
      </c>
      <c r="R80" s="19">
        <v>40</v>
      </c>
      <c r="S80" s="16" t="s">
        <v>142</v>
      </c>
      <c r="T80" s="18" t="e">
        <f>#REF!/#REF!/6</f>
        <v>#REF!</v>
      </c>
      <c r="U80" s="11" t="e">
        <f>100-#REF!</f>
        <v>#REF!</v>
      </c>
      <c r="V80" s="11" t="e">
        <f t="shared" ref="V80" si="27">U80*6</f>
        <v>#REF!</v>
      </c>
      <c r="W80" s="9"/>
      <c r="X80" s="10" t="e">
        <f>#REF!+U80</f>
        <v>#REF!</v>
      </c>
    </row>
    <row r="81" spans="1:24" s="3" customFormat="1" ht="12.75" customHeight="1" x14ac:dyDescent="0.25">
      <c r="A81" s="36" t="s">
        <v>35</v>
      </c>
      <c r="B81" s="37"/>
      <c r="C81" s="37"/>
      <c r="D81" s="37"/>
      <c r="E81" s="38"/>
      <c r="F81" s="25">
        <f>AVERAGE(F72:F80)</f>
        <v>3698.3148148148152</v>
      </c>
      <c r="G81" s="26" t="s">
        <v>9</v>
      </c>
      <c r="H81" s="26" t="s">
        <v>9</v>
      </c>
      <c r="I81" s="26" t="s">
        <v>9</v>
      </c>
      <c r="J81" s="28">
        <f>AVERAGE(J72:J80)</f>
        <v>1963.2685185185182</v>
      </c>
      <c r="K81" s="28">
        <f t="shared" ref="K81:O81" si="28">AVERAGE(K72:K80)</f>
        <v>2039.5740740740741</v>
      </c>
      <c r="L81" s="28">
        <f t="shared" si="28"/>
        <v>2237.3333333333335</v>
      </c>
      <c r="M81" s="28">
        <f t="shared" si="28"/>
        <v>2038.8055555555557</v>
      </c>
      <c r="N81" s="28">
        <f t="shared" si="28"/>
        <v>2116.7222222222222</v>
      </c>
      <c r="O81" s="28">
        <f t="shared" si="28"/>
        <v>2161.4166666666665</v>
      </c>
      <c r="P81" s="26" t="s">
        <v>9</v>
      </c>
      <c r="Q81" s="26" t="s">
        <v>9</v>
      </c>
      <c r="R81" s="27" t="s">
        <v>9</v>
      </c>
      <c r="S81" s="26" t="s">
        <v>9</v>
      </c>
      <c r="T81" s="18"/>
      <c r="U81" s="11"/>
      <c r="V81" s="11"/>
      <c r="W81" s="9"/>
      <c r="X81" s="10"/>
    </row>
    <row r="82" spans="1:24" s="3" customFormat="1" ht="12.75" customHeight="1" x14ac:dyDescent="0.25">
      <c r="A82" s="43" t="s">
        <v>18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18" t="e">
        <f>#REF!/#REF!/6</f>
        <v>#REF!</v>
      </c>
      <c r="U82" s="11" t="e">
        <f>100-#REF!</f>
        <v>#REF!</v>
      </c>
      <c r="V82" s="11" t="e">
        <f t="shared" si="3"/>
        <v>#REF!</v>
      </c>
      <c r="W82" s="9"/>
      <c r="X82" s="10" t="e">
        <f>#REF!+U82</f>
        <v>#REF!</v>
      </c>
    </row>
    <row r="83" spans="1:24" s="3" customFormat="1" ht="15.75" customHeight="1" x14ac:dyDescent="0.25">
      <c r="A83" s="41">
        <v>1</v>
      </c>
      <c r="B83" s="41">
        <v>181</v>
      </c>
      <c r="C83" s="41" t="s">
        <v>100</v>
      </c>
      <c r="D83" s="41" t="s">
        <v>101</v>
      </c>
      <c r="E83" s="5">
        <v>2013</v>
      </c>
      <c r="F83" s="16">
        <f>42600/12</f>
        <v>3550</v>
      </c>
      <c r="G83" s="16">
        <f>29400/12</f>
        <v>2450</v>
      </c>
      <c r="H83" s="17" t="s">
        <v>9</v>
      </c>
      <c r="I83" s="16">
        <f>5040/12</f>
        <v>420</v>
      </c>
      <c r="J83" s="16">
        <f>19800/12</f>
        <v>1650</v>
      </c>
      <c r="K83" s="16">
        <f t="shared" ref="K83:L83" si="29">19800/12</f>
        <v>1650</v>
      </c>
      <c r="L83" s="16">
        <f t="shared" si="29"/>
        <v>1650</v>
      </c>
      <c r="M83" s="17" t="s">
        <v>9</v>
      </c>
      <c r="N83" s="17" t="s">
        <v>9</v>
      </c>
      <c r="O83" s="17" t="s">
        <v>9</v>
      </c>
      <c r="P83" s="21">
        <f t="shared" ref="P83:P91" si="30">AVERAGE(F83:O83)</f>
        <v>1895</v>
      </c>
      <c r="Q83" s="22">
        <v>68.180000000000007</v>
      </c>
      <c r="R83" s="19">
        <v>20</v>
      </c>
      <c r="S83" s="16">
        <v>51</v>
      </c>
      <c r="T83" s="18"/>
      <c r="U83" s="11"/>
      <c r="V83" s="11"/>
      <c r="W83" s="9"/>
      <c r="X83" s="10"/>
    </row>
    <row r="84" spans="1:24" s="3" customFormat="1" ht="15.75" customHeight="1" x14ac:dyDescent="0.25">
      <c r="A84" s="41"/>
      <c r="B84" s="41"/>
      <c r="C84" s="41"/>
      <c r="D84" s="41"/>
      <c r="E84" s="5">
        <v>2014</v>
      </c>
      <c r="F84" s="16">
        <f>42600/12</f>
        <v>3550</v>
      </c>
      <c r="G84" s="16">
        <f t="shared" ref="G84:G85" si="31">29400/12</f>
        <v>2450</v>
      </c>
      <c r="H84" s="17" t="s">
        <v>9</v>
      </c>
      <c r="I84" s="16">
        <f>5160/12</f>
        <v>430</v>
      </c>
      <c r="J84" s="16">
        <f>21000/12</f>
        <v>1750</v>
      </c>
      <c r="K84" s="16">
        <f t="shared" ref="K84:L84" si="32">21000/12</f>
        <v>1750</v>
      </c>
      <c r="L84" s="16">
        <f t="shared" si="32"/>
        <v>1750</v>
      </c>
      <c r="M84" s="17" t="s">
        <v>9</v>
      </c>
      <c r="N84" s="17" t="s">
        <v>9</v>
      </c>
      <c r="O84" s="17" t="s">
        <v>9</v>
      </c>
      <c r="P84" s="21">
        <f t="shared" si="30"/>
        <v>1946.6666666666667</v>
      </c>
      <c r="Q84" s="22">
        <v>68.180000000000007</v>
      </c>
      <c r="R84" s="19">
        <v>20</v>
      </c>
      <c r="S84" s="16">
        <v>52</v>
      </c>
      <c r="T84" s="18" t="e">
        <f>#REF!/#REF!/6</f>
        <v>#REF!</v>
      </c>
      <c r="U84" s="11" t="e">
        <f>100-#REF!</f>
        <v>#REF!</v>
      </c>
      <c r="V84" s="11" t="e">
        <f t="shared" ref="V84" si="33">U84*6</f>
        <v>#REF!</v>
      </c>
      <c r="W84" s="9"/>
      <c r="X84" s="10" t="e">
        <f>#REF!+U84</f>
        <v>#REF!</v>
      </c>
    </row>
    <row r="85" spans="1:24" s="3" customFormat="1" ht="15.75" customHeight="1" x14ac:dyDescent="0.25">
      <c r="A85" s="41"/>
      <c r="B85" s="41"/>
      <c r="C85" s="41"/>
      <c r="D85" s="41"/>
      <c r="E85" s="5">
        <v>2015</v>
      </c>
      <c r="F85" s="16">
        <f>21300/6</f>
        <v>3550</v>
      </c>
      <c r="G85" s="16">
        <f t="shared" si="31"/>
        <v>2450</v>
      </c>
      <c r="H85" s="17" t="s">
        <v>9</v>
      </c>
      <c r="I85" s="16">
        <f>2640/6</f>
        <v>440</v>
      </c>
      <c r="J85" s="16">
        <f>10500/6</f>
        <v>1750</v>
      </c>
      <c r="K85" s="16">
        <f t="shared" ref="K85:L85" si="34">10500/6</f>
        <v>1750</v>
      </c>
      <c r="L85" s="16">
        <f t="shared" si="34"/>
        <v>1750</v>
      </c>
      <c r="M85" s="17" t="s">
        <v>9</v>
      </c>
      <c r="N85" s="17" t="s">
        <v>9</v>
      </c>
      <c r="O85" s="17" t="s">
        <v>9</v>
      </c>
      <c r="P85" s="21">
        <f t="shared" si="30"/>
        <v>1948.3333333333333</v>
      </c>
      <c r="Q85" s="22">
        <v>62.5</v>
      </c>
      <c r="R85" s="19">
        <v>20</v>
      </c>
      <c r="S85" s="16">
        <v>52</v>
      </c>
      <c r="T85" s="18"/>
      <c r="U85" s="11"/>
      <c r="V85" s="11"/>
      <c r="W85" s="9"/>
      <c r="X85" s="10"/>
    </row>
    <row r="86" spans="1:24" s="3" customFormat="1" ht="15.75" customHeight="1" x14ac:dyDescent="0.25">
      <c r="A86" s="41">
        <v>2</v>
      </c>
      <c r="B86" s="41">
        <v>183</v>
      </c>
      <c r="C86" s="41" t="s">
        <v>102</v>
      </c>
      <c r="D86" s="41" t="s">
        <v>103</v>
      </c>
      <c r="E86" s="5">
        <v>2013</v>
      </c>
      <c r="F86" s="16">
        <f>41228.94/12</f>
        <v>3435.7450000000003</v>
      </c>
      <c r="G86" s="16">
        <f>14711.48/12</f>
        <v>1225.9566666666667</v>
      </c>
      <c r="H86" s="17" t="s">
        <v>9</v>
      </c>
      <c r="I86" s="16">
        <f>4682.93/12</f>
        <v>390.24416666666667</v>
      </c>
      <c r="J86" s="16">
        <f>30135/12</f>
        <v>2511.25</v>
      </c>
      <c r="K86" s="16">
        <f>26886.68/12</f>
        <v>2240.5566666666668</v>
      </c>
      <c r="L86" s="16">
        <f>31461.28/12</f>
        <v>2621.7733333333331</v>
      </c>
      <c r="M86" s="20">
        <f>27688.86/12</f>
        <v>2307.4050000000002</v>
      </c>
      <c r="N86" s="20">
        <f>20345.04/12</f>
        <v>1695.42</v>
      </c>
      <c r="O86" s="17" t="s">
        <v>9</v>
      </c>
      <c r="P86" s="21">
        <f t="shared" si="30"/>
        <v>2053.5438541666667</v>
      </c>
      <c r="Q86" s="22">
        <f>769.67/12</f>
        <v>64.139166666666668</v>
      </c>
      <c r="R86" s="19">
        <v>30</v>
      </c>
      <c r="S86" s="16">
        <v>57.04</v>
      </c>
      <c r="T86" s="18"/>
      <c r="U86" s="11"/>
      <c r="V86" s="11"/>
      <c r="W86" s="9"/>
      <c r="X86" s="10"/>
    </row>
    <row r="87" spans="1:24" s="3" customFormat="1" ht="15.75" customHeight="1" x14ac:dyDescent="0.25">
      <c r="A87" s="41"/>
      <c r="B87" s="41"/>
      <c r="C87" s="41"/>
      <c r="D87" s="41"/>
      <c r="E87" s="5">
        <v>2014</v>
      </c>
      <c r="F87" s="16">
        <f>49144.33/12</f>
        <v>4095.3608333333336</v>
      </c>
      <c r="G87" s="16">
        <f>14602.37/12</f>
        <v>1216.8641666666667</v>
      </c>
      <c r="H87" s="17" t="s">
        <v>9</v>
      </c>
      <c r="I87" s="16">
        <f>6755/12</f>
        <v>562.91666666666663</v>
      </c>
      <c r="J87" s="16">
        <f>30865/12</f>
        <v>2572.0833333333335</v>
      </c>
      <c r="K87" s="16">
        <f>28311.08/12</f>
        <v>2359.2566666666667</v>
      </c>
      <c r="L87" s="16">
        <f>32031.28/12</f>
        <v>2669.2733333333331</v>
      </c>
      <c r="M87" s="20">
        <f>30483.26/12</f>
        <v>2540.2716666666665</v>
      </c>
      <c r="N87" s="20">
        <f>21840/12</f>
        <v>1820</v>
      </c>
      <c r="O87" s="17" t="s">
        <v>9</v>
      </c>
      <c r="P87" s="21">
        <f t="shared" si="30"/>
        <v>2229.5033333333331</v>
      </c>
      <c r="Q87" s="22">
        <f>482.69/12</f>
        <v>40.224166666666669</v>
      </c>
      <c r="R87" s="19">
        <v>30</v>
      </c>
      <c r="S87" s="16">
        <v>60.33</v>
      </c>
      <c r="T87" s="18" t="e">
        <f>#REF!/S195/6</f>
        <v>#REF!</v>
      </c>
      <c r="U87" s="11" t="e">
        <f>100-#REF!</f>
        <v>#REF!</v>
      </c>
      <c r="V87" s="11" t="e">
        <f t="shared" ref="V87:V89" si="35">U87*6</f>
        <v>#REF!</v>
      </c>
      <c r="W87" s="9"/>
      <c r="X87" s="10" t="e">
        <f>#REF!+U87</f>
        <v>#REF!</v>
      </c>
    </row>
    <row r="88" spans="1:24" s="3" customFormat="1" ht="15.75" customHeight="1" x14ac:dyDescent="0.25">
      <c r="A88" s="41"/>
      <c r="B88" s="41"/>
      <c r="C88" s="41"/>
      <c r="D88" s="41"/>
      <c r="E88" s="5">
        <v>2015</v>
      </c>
      <c r="F88" s="16">
        <f>19707.77/6</f>
        <v>3284.6283333333336</v>
      </c>
      <c r="G88" s="16">
        <f>7482.5/6</f>
        <v>1247.0833333333333</v>
      </c>
      <c r="H88" s="17" t="s">
        <v>9</v>
      </c>
      <c r="I88" s="16">
        <f>2895.39/6</f>
        <v>482.565</v>
      </c>
      <c r="J88" s="16">
        <f>15632.5/6</f>
        <v>2605.4166666666665</v>
      </c>
      <c r="K88" s="16">
        <f>13799.67/6</f>
        <v>2299.9450000000002</v>
      </c>
      <c r="L88" s="16">
        <f>15665.64/6</f>
        <v>2610.94</v>
      </c>
      <c r="M88" s="20">
        <f>14848.82/6</f>
        <v>2474.8033333333333</v>
      </c>
      <c r="N88" s="20">
        <f>14190.6/6</f>
        <v>2365.1</v>
      </c>
      <c r="O88" s="17" t="s">
        <v>9</v>
      </c>
      <c r="P88" s="21">
        <f t="shared" si="30"/>
        <v>2171.3102083333333</v>
      </c>
      <c r="Q88" s="22">
        <f>127.36/6</f>
        <v>21.226666666666667</v>
      </c>
      <c r="R88" s="19">
        <v>30</v>
      </c>
      <c r="S88" s="16" t="s">
        <v>143</v>
      </c>
      <c r="T88" s="18" t="e">
        <f>#REF!/S196/6</f>
        <v>#REF!</v>
      </c>
      <c r="U88" s="11" t="e">
        <f>100-#REF!</f>
        <v>#REF!</v>
      </c>
      <c r="V88" s="11" t="e">
        <f t="shared" si="35"/>
        <v>#REF!</v>
      </c>
      <c r="W88" s="9"/>
      <c r="X88" s="10" t="e">
        <f>#REF!+U88</f>
        <v>#REF!</v>
      </c>
    </row>
    <row r="89" spans="1:24" s="3" customFormat="1" ht="12.75" customHeight="1" x14ac:dyDescent="0.25">
      <c r="A89" s="41">
        <v>3</v>
      </c>
      <c r="B89" s="41">
        <v>191</v>
      </c>
      <c r="C89" s="41" t="s">
        <v>104</v>
      </c>
      <c r="D89" s="41" t="s">
        <v>105</v>
      </c>
      <c r="E89" s="5">
        <v>2013</v>
      </c>
      <c r="F89" s="16">
        <f>39890.29/12</f>
        <v>3324.1908333333336</v>
      </c>
      <c r="G89" s="17" t="s">
        <v>9</v>
      </c>
      <c r="H89" s="17" t="s">
        <v>9</v>
      </c>
      <c r="I89" s="17" t="s">
        <v>9</v>
      </c>
      <c r="J89" s="16">
        <f>41737.53/12</f>
        <v>3478.1275000000001</v>
      </c>
      <c r="K89" s="16">
        <f>33568.57/12</f>
        <v>2797.3808333333332</v>
      </c>
      <c r="L89" s="16">
        <f>27562.32/12</f>
        <v>2296.86</v>
      </c>
      <c r="M89" s="16">
        <f>30148.43/12</f>
        <v>2512.3691666666668</v>
      </c>
      <c r="N89" s="16">
        <f>31555.21/12</f>
        <v>2629.6008333333334</v>
      </c>
      <c r="O89" s="16">
        <f>31038.22/12</f>
        <v>2586.5183333333334</v>
      </c>
      <c r="P89" s="21">
        <f t="shared" si="30"/>
        <v>2803.5782142857142</v>
      </c>
      <c r="Q89" s="22">
        <v>10.55</v>
      </c>
      <c r="R89" s="19">
        <v>30</v>
      </c>
      <c r="S89" s="16">
        <v>77.06</v>
      </c>
      <c r="T89" s="18" t="e">
        <f>#REF!/S197/6</f>
        <v>#REF!</v>
      </c>
      <c r="U89" s="11" t="e">
        <f>100-#REF!</f>
        <v>#REF!</v>
      </c>
      <c r="V89" s="11" t="e">
        <f t="shared" si="35"/>
        <v>#REF!</v>
      </c>
      <c r="W89" s="9"/>
      <c r="X89" s="10" t="e">
        <f>#REF!+U89</f>
        <v>#REF!</v>
      </c>
    </row>
    <row r="90" spans="1:24" s="3" customFormat="1" ht="12.75" customHeight="1" x14ac:dyDescent="0.25">
      <c r="A90" s="41"/>
      <c r="B90" s="41"/>
      <c r="C90" s="41"/>
      <c r="D90" s="41"/>
      <c r="E90" s="5">
        <v>2014</v>
      </c>
      <c r="F90" s="16">
        <f>44254.99/12</f>
        <v>3687.915833333333</v>
      </c>
      <c r="G90" s="17" t="s">
        <v>9</v>
      </c>
      <c r="H90" s="17" t="s">
        <v>9</v>
      </c>
      <c r="I90" s="17" t="s">
        <v>9</v>
      </c>
      <c r="J90" s="16">
        <f>34413.89/12</f>
        <v>2867.8241666666668</v>
      </c>
      <c r="K90" s="16">
        <f>34637.36/12</f>
        <v>2886.4466666666667</v>
      </c>
      <c r="L90" s="16">
        <f>24912.04/12</f>
        <v>2076.0033333333336</v>
      </c>
      <c r="M90" s="16">
        <f>36344.13/12</f>
        <v>3028.6774999999998</v>
      </c>
      <c r="N90" s="16">
        <f>26356.19/12</f>
        <v>2196.3491666666664</v>
      </c>
      <c r="O90" s="16">
        <f>29889.92/12</f>
        <v>2490.8266666666664</v>
      </c>
      <c r="P90" s="21">
        <f t="shared" si="30"/>
        <v>2747.7204761904763</v>
      </c>
      <c r="Q90" s="22">
        <v>9.09</v>
      </c>
      <c r="R90" s="19">
        <v>30</v>
      </c>
      <c r="S90" s="16">
        <v>70.510000000000005</v>
      </c>
      <c r="T90" s="18"/>
      <c r="U90" s="11"/>
      <c r="V90" s="11"/>
      <c r="W90" s="9"/>
      <c r="X90" s="10"/>
    </row>
    <row r="91" spans="1:24" s="3" customFormat="1" ht="12.75" customHeight="1" x14ac:dyDescent="0.25">
      <c r="A91" s="41"/>
      <c r="B91" s="41"/>
      <c r="C91" s="41"/>
      <c r="D91" s="41"/>
      <c r="E91" s="5">
        <v>2015</v>
      </c>
      <c r="F91" s="16">
        <f>23000/6</f>
        <v>3833.3333333333335</v>
      </c>
      <c r="G91" s="17" t="s">
        <v>9</v>
      </c>
      <c r="H91" s="17" t="s">
        <v>9</v>
      </c>
      <c r="I91" s="17" t="s">
        <v>9</v>
      </c>
      <c r="J91" s="16">
        <f>23189.13/6</f>
        <v>3864.855</v>
      </c>
      <c r="K91" s="16">
        <f>15739.11</f>
        <v>15739.11</v>
      </c>
      <c r="L91" s="16">
        <f>14251.08/6</f>
        <v>2375.1799999999998</v>
      </c>
      <c r="M91" s="17" t="s">
        <v>9</v>
      </c>
      <c r="N91" s="16">
        <f>20109.99/6</f>
        <v>3351.6650000000004</v>
      </c>
      <c r="O91" s="16">
        <f>15013.81/6</f>
        <v>2502.3016666666667</v>
      </c>
      <c r="P91" s="21">
        <f t="shared" si="30"/>
        <v>5277.7408333333333</v>
      </c>
      <c r="Q91" s="22">
        <v>17</v>
      </c>
      <c r="R91" s="19">
        <v>30</v>
      </c>
      <c r="S91" s="16">
        <v>63.21</v>
      </c>
      <c r="T91" s="18" t="e">
        <f>#REF!/S199/6</f>
        <v>#REF!</v>
      </c>
      <c r="U91" s="11" t="e">
        <f>100-#REF!</f>
        <v>#REF!</v>
      </c>
      <c r="V91" s="11" t="e">
        <f t="shared" ref="V91" si="36">U91*6</f>
        <v>#REF!</v>
      </c>
      <c r="W91" s="9"/>
      <c r="X91" s="10" t="e">
        <f>#REF!+U91</f>
        <v>#REF!</v>
      </c>
    </row>
    <row r="92" spans="1:24" s="3" customFormat="1" ht="12.75" customHeight="1" x14ac:dyDescent="0.25">
      <c r="A92" s="36" t="s">
        <v>35</v>
      </c>
      <c r="B92" s="37"/>
      <c r="C92" s="37"/>
      <c r="D92" s="37"/>
      <c r="E92" s="38"/>
      <c r="F92" s="25">
        <f>AVERAGE(F83:F91)</f>
        <v>3590.1304629629631</v>
      </c>
      <c r="G92" s="26" t="s">
        <v>9</v>
      </c>
      <c r="H92" s="26" t="s">
        <v>9</v>
      </c>
      <c r="I92" s="26" t="s">
        <v>9</v>
      </c>
      <c r="J92" s="25">
        <f>AVERAGE(J83:J91)</f>
        <v>2561.0618518518518</v>
      </c>
      <c r="K92" s="25">
        <f t="shared" ref="K92:O92" si="37">AVERAGE(K83:K91)</f>
        <v>3719.1884259259259</v>
      </c>
      <c r="L92" s="25">
        <f t="shared" si="37"/>
        <v>2200.0033333333331</v>
      </c>
      <c r="M92" s="25">
        <f t="shared" si="37"/>
        <v>2572.7053333333333</v>
      </c>
      <c r="N92" s="25">
        <f t="shared" si="37"/>
        <v>2343.0225000000005</v>
      </c>
      <c r="O92" s="25">
        <f t="shared" si="37"/>
        <v>2526.5488888888885</v>
      </c>
      <c r="P92" s="26" t="s">
        <v>9</v>
      </c>
      <c r="Q92" s="26" t="s">
        <v>9</v>
      </c>
      <c r="R92" s="27" t="s">
        <v>9</v>
      </c>
      <c r="S92" s="26" t="s">
        <v>9</v>
      </c>
      <c r="T92" s="18"/>
      <c r="U92" s="11"/>
      <c r="V92" s="11"/>
      <c r="W92" s="9"/>
      <c r="X92" s="10"/>
    </row>
    <row r="93" spans="1:24" s="3" customFormat="1" ht="12.75" customHeight="1" x14ac:dyDescent="0.25">
      <c r="A93" s="43" t="s">
        <v>19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18" t="e">
        <f>#REF!/#REF!/6</f>
        <v>#REF!</v>
      </c>
      <c r="U93" s="11" t="e">
        <f>100-#REF!</f>
        <v>#REF!</v>
      </c>
      <c r="V93" s="11" t="e">
        <f t="shared" si="3"/>
        <v>#REF!</v>
      </c>
      <c r="W93" s="9"/>
      <c r="X93" s="10" t="e">
        <f>#REF!+U93</f>
        <v>#REF!</v>
      </c>
    </row>
    <row r="94" spans="1:24" s="3" customFormat="1" ht="12.75" customHeight="1" x14ac:dyDescent="0.25">
      <c r="A94" s="41">
        <v>1</v>
      </c>
      <c r="B94" s="41">
        <v>192</v>
      </c>
      <c r="C94" s="41" t="s">
        <v>4</v>
      </c>
      <c r="D94" s="41" t="s">
        <v>109</v>
      </c>
      <c r="E94" s="5">
        <v>2013</v>
      </c>
      <c r="F94" s="16">
        <f>56601.05/12</f>
        <v>4716.7541666666666</v>
      </c>
      <c r="G94" s="16">
        <f>26627.16/12</f>
        <v>2218.9299999999998</v>
      </c>
      <c r="H94" s="17" t="s">
        <v>9</v>
      </c>
      <c r="I94" s="16">
        <f>8222.65/12</f>
        <v>685.2208333333333</v>
      </c>
      <c r="J94" s="16">
        <f>28750.13/12</f>
        <v>2395.8441666666668</v>
      </c>
      <c r="K94" s="16">
        <f>24867.09/12</f>
        <v>2072.2575000000002</v>
      </c>
      <c r="L94" s="16">
        <f>23124.39/12</f>
        <v>1927.0325</v>
      </c>
      <c r="M94" s="16">
        <f>24118.63/12</f>
        <v>2009.8858333333335</v>
      </c>
      <c r="N94" s="16">
        <f>21161.59/12</f>
        <v>1763.4658333333334</v>
      </c>
      <c r="O94" s="16">
        <f>28753.76/12</f>
        <v>2396.1466666666665</v>
      </c>
      <c r="P94" s="21">
        <f t="shared" ref="P94:P102" si="38">AVERAGE(F94:O94)</f>
        <v>2242.8374999999996</v>
      </c>
      <c r="Q94" s="22">
        <v>74.900000000000006</v>
      </c>
      <c r="R94" s="19">
        <v>44</v>
      </c>
      <c r="S94" s="16">
        <v>61.53</v>
      </c>
      <c r="T94" s="18"/>
      <c r="U94" s="11"/>
      <c r="V94" s="11"/>
      <c r="W94" s="9"/>
      <c r="X94" s="10"/>
    </row>
    <row r="95" spans="1:24" s="3" customFormat="1" ht="12.75" customHeight="1" x14ac:dyDescent="0.25">
      <c r="A95" s="41"/>
      <c r="B95" s="41"/>
      <c r="C95" s="41"/>
      <c r="D95" s="41"/>
      <c r="E95" s="5">
        <v>2014</v>
      </c>
      <c r="F95" s="16">
        <f>59353.55/12</f>
        <v>4946.1291666666666</v>
      </c>
      <c r="G95" s="16">
        <f>27939.66/12</f>
        <v>2328.3049999999998</v>
      </c>
      <c r="H95" s="17" t="s">
        <v>9</v>
      </c>
      <c r="I95" s="16">
        <f>8574.22/12</f>
        <v>714.51833333333332</v>
      </c>
      <c r="J95" s="16">
        <f>30025.75/12</f>
        <v>2502.1458333333335</v>
      </c>
      <c r="K95" s="16">
        <f>13705.15/6</f>
        <v>2284.1916666666666</v>
      </c>
      <c r="L95" s="16">
        <f>24853.47/12</f>
        <v>2071.1224999999999</v>
      </c>
      <c r="M95" s="16">
        <f>29628.33/12</f>
        <v>2469.0275000000001</v>
      </c>
      <c r="N95" s="16">
        <f>25023.81/12</f>
        <v>2085.3175000000001</v>
      </c>
      <c r="O95" s="16">
        <f>29974.44/12</f>
        <v>2497.87</v>
      </c>
      <c r="P95" s="21">
        <f t="shared" si="38"/>
        <v>2433.1808333333338</v>
      </c>
      <c r="Q95" s="22">
        <v>74.319999999999993</v>
      </c>
      <c r="R95" s="19">
        <v>44</v>
      </c>
      <c r="S95" s="16">
        <v>61.59</v>
      </c>
      <c r="T95" s="18" t="e">
        <f>#REF!/#REF!/6</f>
        <v>#REF!</v>
      </c>
      <c r="U95" s="11" t="e">
        <f>100-#REF!</f>
        <v>#REF!</v>
      </c>
      <c r="V95" s="11" t="e">
        <f t="shared" ref="V95" si="39">U95*6</f>
        <v>#REF!</v>
      </c>
      <c r="W95" s="9"/>
      <c r="X95" s="10" t="e">
        <f>#REF!+U95</f>
        <v>#REF!</v>
      </c>
    </row>
    <row r="96" spans="1:24" s="3" customFormat="1" ht="12.75" customHeight="1" x14ac:dyDescent="0.25">
      <c r="A96" s="41"/>
      <c r="B96" s="41"/>
      <c r="C96" s="41"/>
      <c r="D96" s="41"/>
      <c r="E96" s="5">
        <v>2015</v>
      </c>
      <c r="F96" s="16">
        <f>29994.5/6</f>
        <v>4999.083333333333</v>
      </c>
      <c r="G96" s="16">
        <f>13969.73/6</f>
        <v>2328.2883333333334</v>
      </c>
      <c r="H96" s="17" t="s">
        <v>9</v>
      </c>
      <c r="I96" s="16">
        <f>4258.48/6</f>
        <v>709.74666666666656</v>
      </c>
      <c r="J96" s="16">
        <f>14930.96/6</f>
        <v>2488.4933333333333</v>
      </c>
      <c r="K96" s="17" t="s">
        <v>9</v>
      </c>
      <c r="L96" s="16">
        <f>12061.04/6</f>
        <v>2010.1733333333334</v>
      </c>
      <c r="M96" s="17" t="s">
        <v>9</v>
      </c>
      <c r="N96" s="16">
        <f>12965.77/6</f>
        <v>2160.9616666666666</v>
      </c>
      <c r="O96" s="16">
        <f>14823.25/6</f>
        <v>2470.5416666666665</v>
      </c>
      <c r="P96" s="21">
        <f t="shared" si="38"/>
        <v>2452.469761904762</v>
      </c>
      <c r="Q96" s="22">
        <v>73.78</v>
      </c>
      <c r="R96" s="19">
        <v>24</v>
      </c>
      <c r="S96" s="16">
        <v>60.5</v>
      </c>
      <c r="T96" s="18"/>
      <c r="U96" s="11"/>
      <c r="V96" s="11"/>
      <c r="W96" s="9"/>
      <c r="X96" s="10"/>
    </row>
    <row r="97" spans="1:24" s="3" customFormat="1" ht="15.75" customHeight="1" x14ac:dyDescent="0.25">
      <c r="A97" s="41">
        <v>2</v>
      </c>
      <c r="B97" s="41">
        <v>195</v>
      </c>
      <c r="C97" s="41" t="s">
        <v>110</v>
      </c>
      <c r="D97" s="41" t="s">
        <v>111</v>
      </c>
      <c r="E97" s="5">
        <v>2013</v>
      </c>
      <c r="F97" s="16">
        <f>75114.81/12</f>
        <v>6259.5675000000001</v>
      </c>
      <c r="G97" s="16">
        <f>21734.66/12</f>
        <v>1811.2216666666666</v>
      </c>
      <c r="H97" s="17" t="s">
        <v>9</v>
      </c>
      <c r="I97" s="16">
        <f>15198.32/12</f>
        <v>1266.5266666666666</v>
      </c>
      <c r="J97" s="16">
        <f>21374.78/12</f>
        <v>1781.2316666666666</v>
      </c>
      <c r="K97" s="16">
        <f>18785.35/12</f>
        <v>1565.4458333333332</v>
      </c>
      <c r="L97" s="16">
        <f>31232.15/12</f>
        <v>2602.6791666666668</v>
      </c>
      <c r="M97" s="17" t="s">
        <v>9</v>
      </c>
      <c r="N97" s="16">
        <f>24359.98/12</f>
        <v>2029.9983333333332</v>
      </c>
      <c r="O97" s="16">
        <f>27995.12/12</f>
        <v>2332.9266666666667</v>
      </c>
      <c r="P97" s="21">
        <f t="shared" si="38"/>
        <v>2456.1996875</v>
      </c>
      <c r="Q97" s="22">
        <f>485.22/12</f>
        <v>40.435000000000002</v>
      </c>
      <c r="R97" s="19">
        <v>45</v>
      </c>
      <c r="S97" s="16">
        <v>56.2</v>
      </c>
      <c r="T97" s="18"/>
      <c r="U97" s="11"/>
      <c r="V97" s="11"/>
      <c r="W97" s="9"/>
      <c r="X97" s="10"/>
    </row>
    <row r="98" spans="1:24" s="3" customFormat="1" ht="15.75" customHeight="1" x14ac:dyDescent="0.25">
      <c r="A98" s="41"/>
      <c r="B98" s="41"/>
      <c r="C98" s="41"/>
      <c r="D98" s="41"/>
      <c r="E98" s="5">
        <v>2014</v>
      </c>
      <c r="F98" s="16">
        <f>75045.1/12</f>
        <v>6253.7583333333341</v>
      </c>
      <c r="G98" s="16">
        <f>23266.01/12</f>
        <v>1938.8341666666665</v>
      </c>
      <c r="H98" s="17" t="s">
        <v>9</v>
      </c>
      <c r="I98" s="16">
        <f>13794.47/12</f>
        <v>1149.5391666666667</v>
      </c>
      <c r="J98" s="16">
        <f>23276.08/12</f>
        <v>1939.6733333333334</v>
      </c>
      <c r="K98" s="16">
        <f>13426.36/12</f>
        <v>1118.8633333333335</v>
      </c>
      <c r="L98" s="16">
        <f>18550.88/12</f>
        <v>1545.9066666666668</v>
      </c>
      <c r="M98" s="16">
        <f>32059.85/12</f>
        <v>2671.6541666666667</v>
      </c>
      <c r="N98" s="16">
        <f>19140.31/12</f>
        <v>1595.0258333333334</v>
      </c>
      <c r="O98" s="16">
        <f>25094.7/12</f>
        <v>2091.2249999999999</v>
      </c>
      <c r="P98" s="21">
        <f t="shared" si="38"/>
        <v>2256.0533333333333</v>
      </c>
      <c r="Q98" s="22">
        <f>466.08/12</f>
        <v>38.839999999999996</v>
      </c>
      <c r="R98" s="19">
        <v>50</v>
      </c>
      <c r="S98" s="16">
        <v>49.51</v>
      </c>
      <c r="T98" s="18" t="e">
        <f>#REF!/S208/6</f>
        <v>#REF!</v>
      </c>
      <c r="U98" s="11" t="e">
        <f>100-#REF!</f>
        <v>#REF!</v>
      </c>
      <c r="V98" s="11" t="e">
        <f t="shared" ref="V98:V100" si="40">U98*6</f>
        <v>#REF!</v>
      </c>
      <c r="W98" s="9"/>
      <c r="X98" s="10" t="e">
        <f>#REF!+U98</f>
        <v>#REF!</v>
      </c>
    </row>
    <row r="99" spans="1:24" s="3" customFormat="1" ht="15.75" customHeight="1" x14ac:dyDescent="0.25">
      <c r="A99" s="41"/>
      <c r="B99" s="41"/>
      <c r="C99" s="41"/>
      <c r="D99" s="41"/>
      <c r="E99" s="5">
        <v>2015</v>
      </c>
      <c r="F99" s="16">
        <f>37600/6</f>
        <v>6266.666666666667</v>
      </c>
      <c r="G99" s="16">
        <f>12298/6</f>
        <v>2049.6666666666665</v>
      </c>
      <c r="H99" s="17" t="s">
        <v>9</v>
      </c>
      <c r="I99" s="16">
        <f>7896.82/6</f>
        <v>1316.1366666666665</v>
      </c>
      <c r="J99" s="16">
        <f>12220/6</f>
        <v>2036.6666666666667</v>
      </c>
      <c r="K99" s="16">
        <f>9745.81/6</f>
        <v>1624.3016666666665</v>
      </c>
      <c r="L99" s="16">
        <f>11269.97/6</f>
        <v>1878.3283333333331</v>
      </c>
      <c r="M99" s="16">
        <f>11067.93/6</f>
        <v>1844.655</v>
      </c>
      <c r="N99" s="16">
        <f>11138.29/6</f>
        <v>1856.3816666666669</v>
      </c>
      <c r="O99" s="16">
        <f>10735.71/6</f>
        <v>1789.2849999999999</v>
      </c>
      <c r="P99" s="21">
        <f t="shared" si="38"/>
        <v>2295.7875925925928</v>
      </c>
      <c r="Q99" s="22">
        <f>273.58/6</f>
        <v>45.596666666666664</v>
      </c>
      <c r="R99" s="19">
        <v>50</v>
      </c>
      <c r="S99" s="16">
        <v>50.91</v>
      </c>
      <c r="T99" s="18" t="e">
        <f>#REF!/S209/6</f>
        <v>#REF!</v>
      </c>
      <c r="U99" s="11" t="e">
        <f>100-#REF!</f>
        <v>#REF!</v>
      </c>
      <c r="V99" s="11" t="e">
        <f t="shared" si="40"/>
        <v>#REF!</v>
      </c>
      <c r="W99" s="9"/>
      <c r="X99" s="10" t="e">
        <f>#REF!+U99</f>
        <v>#REF!</v>
      </c>
    </row>
    <row r="100" spans="1:24" s="3" customFormat="1" ht="12.75" customHeight="1" x14ac:dyDescent="0.25">
      <c r="A100" s="41">
        <v>3</v>
      </c>
      <c r="B100" s="41">
        <v>215</v>
      </c>
      <c r="C100" s="41" t="s">
        <v>112</v>
      </c>
      <c r="D100" s="41" t="s">
        <v>113</v>
      </c>
      <c r="E100" s="5">
        <v>2013</v>
      </c>
      <c r="F100" s="16">
        <f>61084.23/12</f>
        <v>5090.3525</v>
      </c>
      <c r="G100" s="16">
        <f>50524.7/12</f>
        <v>4210.3916666666664</v>
      </c>
      <c r="H100" s="17" t="s">
        <v>9</v>
      </c>
      <c r="I100" s="17" t="s">
        <v>9</v>
      </c>
      <c r="J100" s="16">
        <f>35819.97/12</f>
        <v>2984.9974999999999</v>
      </c>
      <c r="K100" s="16">
        <f>31433.61/12</f>
        <v>2619.4675000000002</v>
      </c>
      <c r="L100" s="16">
        <f>36684.87/12</f>
        <v>3057.0725000000002</v>
      </c>
      <c r="M100" s="16">
        <f>41971.65/12</f>
        <v>3497.6375000000003</v>
      </c>
      <c r="N100" s="16">
        <f>37432.08/12</f>
        <v>3119.34</v>
      </c>
      <c r="O100" s="16">
        <f>37151.85/12</f>
        <v>3095.9874999999997</v>
      </c>
      <c r="P100" s="21">
        <f t="shared" si="38"/>
        <v>3459.4058333333337</v>
      </c>
      <c r="Q100" s="22">
        <v>46.78</v>
      </c>
      <c r="R100" s="19">
        <v>50</v>
      </c>
      <c r="S100" s="16">
        <v>66.3</v>
      </c>
      <c r="T100" s="18" t="e">
        <f>#REF!/S210/6</f>
        <v>#REF!</v>
      </c>
      <c r="U100" s="11" t="e">
        <f>100-#REF!</f>
        <v>#REF!</v>
      </c>
      <c r="V100" s="11" t="e">
        <f t="shared" si="40"/>
        <v>#REF!</v>
      </c>
      <c r="W100" s="9"/>
      <c r="X100" s="10" t="e">
        <f>#REF!+U100</f>
        <v>#REF!</v>
      </c>
    </row>
    <row r="101" spans="1:24" s="3" customFormat="1" ht="12.75" customHeight="1" x14ac:dyDescent="0.25">
      <c r="A101" s="41"/>
      <c r="B101" s="41"/>
      <c r="C101" s="41"/>
      <c r="D101" s="41"/>
      <c r="E101" s="5">
        <v>2014</v>
      </c>
      <c r="F101" s="16">
        <f>61055.22/12</f>
        <v>5087.9350000000004</v>
      </c>
      <c r="G101" s="16">
        <f>46625.08/12</f>
        <v>3885.4233333333336</v>
      </c>
      <c r="H101" s="17" t="s">
        <v>9</v>
      </c>
      <c r="I101" s="17" t="s">
        <v>9</v>
      </c>
      <c r="J101" s="16">
        <f>36961/12</f>
        <v>3080.0833333333335</v>
      </c>
      <c r="K101" s="16">
        <f>38552.4/12</f>
        <v>3212.7000000000003</v>
      </c>
      <c r="L101" s="16">
        <f>39428.33/12</f>
        <v>3285.6941666666667</v>
      </c>
      <c r="M101" s="16">
        <f>39069.3/12</f>
        <v>3255.7750000000001</v>
      </c>
      <c r="N101" s="16">
        <f>39653.61/12</f>
        <v>3304.4675000000002</v>
      </c>
      <c r="O101" s="16">
        <f>39254.73/12</f>
        <v>3271.2275000000004</v>
      </c>
      <c r="P101" s="21">
        <f t="shared" si="38"/>
        <v>3547.913229166667</v>
      </c>
      <c r="Q101" s="22">
        <v>48.12</v>
      </c>
      <c r="R101" s="19">
        <v>50</v>
      </c>
      <c r="S101" s="16">
        <v>65.569999999999993</v>
      </c>
      <c r="T101" s="18"/>
      <c r="U101" s="11"/>
      <c r="V101" s="11"/>
      <c r="W101" s="9"/>
      <c r="X101" s="10"/>
    </row>
    <row r="102" spans="1:24" s="3" customFormat="1" ht="12.75" customHeight="1" x14ac:dyDescent="0.25">
      <c r="A102" s="41"/>
      <c r="B102" s="41"/>
      <c r="C102" s="41"/>
      <c r="D102" s="41"/>
      <c r="E102" s="5">
        <v>2015</v>
      </c>
      <c r="F102" s="16">
        <f>33184.68/6</f>
        <v>5530.78</v>
      </c>
      <c r="G102" s="16">
        <f>25570.24/6</f>
        <v>4261.7066666666669</v>
      </c>
      <c r="H102" s="17" t="s">
        <v>9</v>
      </c>
      <c r="I102" s="17" t="s">
        <v>9</v>
      </c>
      <c r="J102" s="16">
        <f>20630.15/6</f>
        <v>3438.3583333333336</v>
      </c>
      <c r="K102" s="16">
        <f>21291.39/6</f>
        <v>3548.5650000000001</v>
      </c>
      <c r="L102" s="16">
        <f>21936.49/6</f>
        <v>3656.0816666666669</v>
      </c>
      <c r="M102" s="16">
        <f>21196.39/6</f>
        <v>3532.7316666666666</v>
      </c>
      <c r="N102" s="16">
        <f>21874.93/6</f>
        <v>3645.8216666666667</v>
      </c>
      <c r="O102" s="16">
        <f>40473.8/6</f>
        <v>6745.6333333333341</v>
      </c>
      <c r="P102" s="21">
        <f t="shared" si="38"/>
        <v>4294.9597916666671</v>
      </c>
      <c r="Q102" s="22">
        <v>46.61</v>
      </c>
      <c r="R102" s="19">
        <v>50</v>
      </c>
      <c r="S102" s="16">
        <v>75.489999999999995</v>
      </c>
      <c r="T102" s="18" t="e">
        <f>#REF!/S212/6</f>
        <v>#REF!</v>
      </c>
      <c r="U102" s="11" t="e">
        <f>100-#REF!</f>
        <v>#REF!</v>
      </c>
      <c r="V102" s="11" t="e">
        <f t="shared" ref="V102" si="41">U102*6</f>
        <v>#REF!</v>
      </c>
      <c r="W102" s="9"/>
      <c r="X102" s="10" t="e">
        <f>#REF!+U102</f>
        <v>#REF!</v>
      </c>
    </row>
    <row r="103" spans="1:24" s="3" customFormat="1" ht="12.75" customHeight="1" x14ac:dyDescent="0.25">
      <c r="A103" s="36" t="s">
        <v>35</v>
      </c>
      <c r="B103" s="37"/>
      <c r="C103" s="37"/>
      <c r="D103" s="37"/>
      <c r="E103" s="38"/>
      <c r="F103" s="25">
        <f>AVERAGE(F94:F102)</f>
        <v>5461.2251851851852</v>
      </c>
      <c r="G103" s="26" t="s">
        <v>9</v>
      </c>
      <c r="H103" s="26" t="s">
        <v>9</v>
      </c>
      <c r="I103" s="26" t="s">
        <v>9</v>
      </c>
      <c r="J103" s="25">
        <f>AVERAGE(J94:J102)</f>
        <v>2516.3882407407409</v>
      </c>
      <c r="K103" s="25">
        <f t="shared" ref="K103:N103" si="42">AVERAGE(K94:K102)</f>
        <v>2255.7240625000004</v>
      </c>
      <c r="L103" s="25">
        <f t="shared" si="42"/>
        <v>2448.2323148148153</v>
      </c>
      <c r="M103" s="25">
        <f t="shared" si="42"/>
        <v>2754.4809523809527</v>
      </c>
      <c r="N103" s="25">
        <f t="shared" si="42"/>
        <v>2395.6422222222222</v>
      </c>
      <c r="O103" s="25">
        <f>AVERAGE(O94:O102)</f>
        <v>2965.6492592592595</v>
      </c>
      <c r="P103" s="26" t="s">
        <v>9</v>
      </c>
      <c r="Q103" s="26" t="s">
        <v>9</v>
      </c>
      <c r="R103" s="27" t="s">
        <v>9</v>
      </c>
      <c r="S103" s="26" t="s">
        <v>9</v>
      </c>
      <c r="T103" s="18"/>
      <c r="U103" s="11"/>
      <c r="V103" s="11"/>
      <c r="W103" s="9"/>
      <c r="X103" s="10"/>
    </row>
    <row r="104" spans="1:24" s="3" customFormat="1" ht="15" customHeight="1" x14ac:dyDescent="0.25">
      <c r="A104" s="43" t="s">
        <v>20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18" t="e">
        <f>#REF!/#REF!/6</f>
        <v>#REF!</v>
      </c>
      <c r="U104" s="11" t="e">
        <f>100-#REF!</f>
        <v>#REF!</v>
      </c>
      <c r="V104" s="11" t="e">
        <f t="shared" si="3"/>
        <v>#REF!</v>
      </c>
      <c r="W104" s="9"/>
      <c r="X104" s="10" t="e">
        <f>#REF!+U104</f>
        <v>#REF!</v>
      </c>
    </row>
    <row r="105" spans="1:24" s="3" customFormat="1" ht="12.75" customHeight="1" x14ac:dyDescent="0.25">
      <c r="A105" s="41">
        <v>1</v>
      </c>
      <c r="B105" s="41">
        <v>227</v>
      </c>
      <c r="C105" s="41" t="s">
        <v>106</v>
      </c>
      <c r="D105" s="41" t="s">
        <v>108</v>
      </c>
      <c r="E105" s="5">
        <v>2013</v>
      </c>
      <c r="F105" s="16">
        <f>46663.93/12</f>
        <v>3888.6608333333334</v>
      </c>
      <c r="G105" s="16">
        <f>17948.78/12</f>
        <v>1495.7316666666666</v>
      </c>
      <c r="H105" s="17" t="s">
        <v>9</v>
      </c>
      <c r="I105" s="17" t="s">
        <v>9</v>
      </c>
      <c r="J105" s="20">
        <f>25837.86/12</f>
        <v>2153.1550000000002</v>
      </c>
      <c r="K105" s="20">
        <f>27028.7/12</f>
        <v>2252.3916666666669</v>
      </c>
      <c r="L105" s="20">
        <f>29373.45/12</f>
        <v>2447.7874999999999</v>
      </c>
      <c r="M105" s="20">
        <f>30612.9/12</f>
        <v>2551.0750000000003</v>
      </c>
      <c r="N105" s="20">
        <f>31690.93/12</f>
        <v>2640.9108333333334</v>
      </c>
      <c r="O105" s="20">
        <f>26729.89/12</f>
        <v>2227.4908333333333</v>
      </c>
      <c r="P105" s="21">
        <f t="shared" ref="P105:P113" si="43">AVERAGE(F105:O105)</f>
        <v>2457.1504166666668</v>
      </c>
      <c r="Q105" s="22">
        <v>100</v>
      </c>
      <c r="R105" s="19">
        <v>35</v>
      </c>
      <c r="S105" s="16">
        <v>67.430000000000007</v>
      </c>
      <c r="T105" s="18"/>
      <c r="U105" s="11"/>
      <c r="V105" s="11"/>
      <c r="W105" s="9"/>
      <c r="X105" s="10"/>
    </row>
    <row r="106" spans="1:24" s="3" customFormat="1" ht="12.75" customHeight="1" x14ac:dyDescent="0.25">
      <c r="A106" s="41"/>
      <c r="B106" s="41"/>
      <c r="C106" s="41"/>
      <c r="D106" s="41"/>
      <c r="E106" s="5">
        <v>2014</v>
      </c>
      <c r="F106" s="16">
        <f>56963.93/12</f>
        <v>4746.9941666666664</v>
      </c>
      <c r="G106" s="16">
        <f>21821.65/12</f>
        <v>1818.4708333333335</v>
      </c>
      <c r="H106" s="17" t="s">
        <v>9</v>
      </c>
      <c r="I106" s="17" t="s">
        <v>9</v>
      </c>
      <c r="J106" s="20">
        <f>31999.6/12</f>
        <v>2666.6333333333332</v>
      </c>
      <c r="K106" s="20">
        <f>32985.81/12</f>
        <v>2748.8174999999997</v>
      </c>
      <c r="L106" s="20">
        <f>32500.38/12</f>
        <v>2708.3650000000002</v>
      </c>
      <c r="M106" s="20">
        <f>34079.07/12</f>
        <v>2839.9225000000001</v>
      </c>
      <c r="N106" s="20">
        <f>35440.93/12</f>
        <v>2953.4108333333334</v>
      </c>
      <c r="O106" s="20">
        <f>30700.04/12</f>
        <v>2558.3366666666666</v>
      </c>
      <c r="P106" s="21">
        <f t="shared" si="43"/>
        <v>2880.1188541666666</v>
      </c>
      <c r="Q106" s="22">
        <v>98.86</v>
      </c>
      <c r="R106" s="19">
        <v>40</v>
      </c>
      <c r="S106" s="16">
        <v>66.91</v>
      </c>
      <c r="T106" s="18" t="e">
        <f>#REF!/#REF!/6</f>
        <v>#REF!</v>
      </c>
      <c r="U106" s="11" t="e">
        <f>100-#REF!</f>
        <v>#REF!</v>
      </c>
      <c r="V106" s="11" t="e">
        <f t="shared" ref="V106" si="44">U106*6</f>
        <v>#REF!</v>
      </c>
      <c r="W106" s="9"/>
      <c r="X106" s="10" t="e">
        <f>#REF!+U106</f>
        <v>#REF!</v>
      </c>
    </row>
    <row r="107" spans="1:24" s="3" customFormat="1" ht="12.75" customHeight="1" x14ac:dyDescent="0.25">
      <c r="A107" s="41"/>
      <c r="B107" s="41"/>
      <c r="C107" s="41"/>
      <c r="D107" s="41"/>
      <c r="E107" s="5">
        <v>2015</v>
      </c>
      <c r="F107" s="16">
        <f>26446.5/6</f>
        <v>4407.75</v>
      </c>
      <c r="G107" s="16">
        <f>10066.26/6</f>
        <v>1677.71</v>
      </c>
      <c r="H107" s="17" t="s">
        <v>9</v>
      </c>
      <c r="I107" s="17" t="s">
        <v>9</v>
      </c>
      <c r="J107" s="20">
        <f>14794.67/6</f>
        <v>2465.7783333333332</v>
      </c>
      <c r="K107" s="20">
        <f>15931.6/6</f>
        <v>2655.2666666666669</v>
      </c>
      <c r="L107" s="20">
        <f>15587.64/6</f>
        <v>2597.94</v>
      </c>
      <c r="M107" s="20">
        <f>16389.76/6</f>
        <v>2731.6266666666666</v>
      </c>
      <c r="N107" s="20">
        <f>17122.5/6</f>
        <v>2853.75</v>
      </c>
      <c r="O107" s="20">
        <f>15481.51/6</f>
        <v>2580.2516666666666</v>
      </c>
      <c r="P107" s="21">
        <f t="shared" si="43"/>
        <v>2746.2591666666667</v>
      </c>
      <c r="Q107" s="22">
        <v>98.75</v>
      </c>
      <c r="R107" s="19">
        <v>40</v>
      </c>
      <c r="S107" s="16" t="s">
        <v>144</v>
      </c>
      <c r="T107" s="18"/>
      <c r="U107" s="11"/>
      <c r="V107" s="11"/>
      <c r="W107" s="9"/>
      <c r="X107" s="10"/>
    </row>
    <row r="108" spans="1:24" s="3" customFormat="1" ht="12.75" customHeight="1" x14ac:dyDescent="0.25">
      <c r="A108" s="41">
        <v>2</v>
      </c>
      <c r="B108" s="41">
        <v>229</v>
      </c>
      <c r="C108" s="41" t="s">
        <v>5</v>
      </c>
      <c r="D108" s="41" t="s">
        <v>107</v>
      </c>
      <c r="E108" s="5">
        <v>2013</v>
      </c>
      <c r="F108" s="16">
        <f>57600/12</f>
        <v>4800</v>
      </c>
      <c r="G108" s="16">
        <f>36360/12</f>
        <v>3030</v>
      </c>
      <c r="H108" s="17" t="s">
        <v>9</v>
      </c>
      <c r="I108" s="17" t="s">
        <v>9</v>
      </c>
      <c r="J108" s="20">
        <f>25200/12</f>
        <v>2100</v>
      </c>
      <c r="K108" s="20">
        <f>25200/12</f>
        <v>2100</v>
      </c>
      <c r="L108" s="20">
        <f>25200/12</f>
        <v>2100</v>
      </c>
      <c r="M108" s="20">
        <f>25200/12</f>
        <v>2100</v>
      </c>
      <c r="N108" s="20">
        <f>26160/12</f>
        <v>2180</v>
      </c>
      <c r="O108" s="20">
        <f>26160/12</f>
        <v>2180</v>
      </c>
      <c r="P108" s="21">
        <f t="shared" si="43"/>
        <v>2573.75</v>
      </c>
      <c r="Q108" s="23" t="s">
        <v>9</v>
      </c>
      <c r="R108" s="19">
        <v>55</v>
      </c>
      <c r="S108" s="16">
        <v>58.21</v>
      </c>
      <c r="T108" s="18"/>
      <c r="U108" s="11"/>
      <c r="V108" s="11"/>
      <c r="W108" s="9"/>
      <c r="X108" s="10"/>
    </row>
    <row r="109" spans="1:24" s="3" customFormat="1" ht="12.75" customHeight="1" x14ac:dyDescent="0.25">
      <c r="A109" s="41"/>
      <c r="B109" s="41"/>
      <c r="C109" s="41"/>
      <c r="D109" s="41"/>
      <c r="E109" s="5">
        <v>2014</v>
      </c>
      <c r="F109" s="16">
        <f>57600/12</f>
        <v>4800</v>
      </c>
      <c r="G109" s="16">
        <f>37320/12</f>
        <v>3110</v>
      </c>
      <c r="H109" s="17" t="s">
        <v>9</v>
      </c>
      <c r="I109" s="17" t="s">
        <v>9</v>
      </c>
      <c r="J109" s="20">
        <f>26160/12</f>
        <v>2180</v>
      </c>
      <c r="K109" s="20">
        <f>26160/12</f>
        <v>2180</v>
      </c>
      <c r="L109" s="20">
        <f>26160/12</f>
        <v>2180</v>
      </c>
      <c r="M109" s="20">
        <f>26160/12</f>
        <v>2180</v>
      </c>
      <c r="N109" s="20">
        <f>27120/12</f>
        <v>2260</v>
      </c>
      <c r="O109" s="20">
        <f>27120/12</f>
        <v>2260</v>
      </c>
      <c r="P109" s="21">
        <f t="shared" si="43"/>
        <v>2643.75</v>
      </c>
      <c r="Q109" s="23" t="s">
        <v>9</v>
      </c>
      <c r="R109" s="19">
        <v>55</v>
      </c>
      <c r="S109" s="16">
        <v>62.72</v>
      </c>
      <c r="T109" s="18" t="e">
        <f>#REF!/S221/6</f>
        <v>#REF!</v>
      </c>
      <c r="U109" s="11" t="e">
        <f>100-#REF!</f>
        <v>#REF!</v>
      </c>
      <c r="V109" s="11" t="e">
        <f t="shared" ref="V109:V111" si="45">U109*6</f>
        <v>#REF!</v>
      </c>
      <c r="W109" s="9"/>
      <c r="X109" s="10" t="e">
        <f>#REF!+U109</f>
        <v>#REF!</v>
      </c>
    </row>
    <row r="110" spans="1:24" s="3" customFormat="1" ht="11.25" x14ac:dyDescent="0.25">
      <c r="A110" s="41"/>
      <c r="B110" s="41"/>
      <c r="C110" s="41"/>
      <c r="D110" s="41"/>
      <c r="E110" s="5">
        <v>2015</v>
      </c>
      <c r="F110" s="16">
        <f>28800/6</f>
        <v>4800</v>
      </c>
      <c r="G110" s="16">
        <f>18660/6</f>
        <v>3110</v>
      </c>
      <c r="H110" s="17" t="s">
        <v>9</v>
      </c>
      <c r="I110" s="17" t="s">
        <v>9</v>
      </c>
      <c r="J110" s="20">
        <f>13080/6</f>
        <v>2180</v>
      </c>
      <c r="K110" s="20">
        <f>13080/6</f>
        <v>2180</v>
      </c>
      <c r="L110" s="20">
        <f>13080/6</f>
        <v>2180</v>
      </c>
      <c r="M110" s="20">
        <f>13080/6</f>
        <v>2180</v>
      </c>
      <c r="N110" s="20">
        <f>13560/6</f>
        <v>2260</v>
      </c>
      <c r="O110" s="20">
        <f>13560/6</f>
        <v>2260</v>
      </c>
      <c r="P110" s="21">
        <f t="shared" si="43"/>
        <v>2643.75</v>
      </c>
      <c r="Q110" s="23" t="s">
        <v>9</v>
      </c>
      <c r="R110" s="19">
        <v>55</v>
      </c>
      <c r="S110" s="16" t="s">
        <v>145</v>
      </c>
      <c r="T110" s="18" t="e">
        <f>#REF!/S222/6</f>
        <v>#REF!</v>
      </c>
      <c r="U110" s="11" t="e">
        <f>100-#REF!</f>
        <v>#REF!</v>
      </c>
      <c r="V110" s="11" t="e">
        <f t="shared" si="45"/>
        <v>#REF!</v>
      </c>
      <c r="W110" s="9"/>
      <c r="X110" s="10" t="e">
        <f>#REF!+U110</f>
        <v>#REF!</v>
      </c>
    </row>
    <row r="111" spans="1:24" s="3" customFormat="1" ht="15.75" customHeight="1" x14ac:dyDescent="0.25">
      <c r="A111" s="41">
        <v>3</v>
      </c>
      <c r="B111" s="41">
        <v>231</v>
      </c>
      <c r="C111" s="41" t="s">
        <v>118</v>
      </c>
      <c r="D111" s="41" t="s">
        <v>117</v>
      </c>
      <c r="E111" s="5">
        <v>2013</v>
      </c>
      <c r="F111" s="16">
        <f>51686.08/12</f>
        <v>4307.1733333333332</v>
      </c>
      <c r="G111" s="16">
        <f>25303.87/12</f>
        <v>2108.6558333333332</v>
      </c>
      <c r="H111" s="17" t="s">
        <v>9</v>
      </c>
      <c r="I111" s="16">
        <f>16773.75/12</f>
        <v>1397.8125</v>
      </c>
      <c r="J111" s="20">
        <f>32661.02/12</f>
        <v>2721.7516666666666</v>
      </c>
      <c r="K111" s="20">
        <f>34815.36/12</f>
        <v>2901.28</v>
      </c>
      <c r="L111" s="20">
        <f>32511.96/12</f>
        <v>2709.33</v>
      </c>
      <c r="M111" s="20">
        <f>29117.47/12</f>
        <v>2426.4558333333334</v>
      </c>
      <c r="N111" s="20">
        <f>33858.12/12</f>
        <v>2821.51</v>
      </c>
      <c r="O111" s="17" t="s">
        <v>9</v>
      </c>
      <c r="P111" s="21">
        <f t="shared" si="43"/>
        <v>2674.2461458333337</v>
      </c>
      <c r="Q111" s="22">
        <v>39.549999999999997</v>
      </c>
      <c r="R111" s="19">
        <v>35</v>
      </c>
      <c r="S111" s="16">
        <v>73.25</v>
      </c>
      <c r="T111" s="18" t="e">
        <f>#REF!/S223/6</f>
        <v>#REF!</v>
      </c>
      <c r="U111" s="11" t="e">
        <f>100-#REF!</f>
        <v>#REF!</v>
      </c>
      <c r="V111" s="11" t="e">
        <f t="shared" si="45"/>
        <v>#REF!</v>
      </c>
      <c r="W111" s="9"/>
      <c r="X111" s="10" t="e">
        <f>#REF!+U111</f>
        <v>#REF!</v>
      </c>
    </row>
    <row r="112" spans="1:24" s="3" customFormat="1" ht="15.75" customHeight="1" x14ac:dyDescent="0.25">
      <c r="A112" s="41"/>
      <c r="B112" s="41"/>
      <c r="C112" s="41"/>
      <c r="D112" s="41"/>
      <c r="E112" s="5">
        <v>2014</v>
      </c>
      <c r="F112" s="16">
        <f>56741.06/12</f>
        <v>4728.4216666666662</v>
      </c>
      <c r="G112" s="16">
        <f>27098.47/12</f>
        <v>2258.2058333333334</v>
      </c>
      <c r="H112" s="17" t="s">
        <v>9</v>
      </c>
      <c r="I112" s="16">
        <f>29146.85/12</f>
        <v>2428.9041666666667</v>
      </c>
      <c r="J112" s="20">
        <f>37260.1/12</f>
        <v>3105.0083333333332</v>
      </c>
      <c r="K112" s="20">
        <f>37964.81/12</f>
        <v>3163.7341666666666</v>
      </c>
      <c r="L112" s="20">
        <f>35614.05/12</f>
        <v>2967.8375000000001</v>
      </c>
      <c r="M112" s="20">
        <f>32483.8/12</f>
        <v>2706.9833333333331</v>
      </c>
      <c r="N112" s="20">
        <f>37382.23/12</f>
        <v>3115.1858333333334</v>
      </c>
      <c r="O112" s="20">
        <f>27647.9/12</f>
        <v>2303.9916666666668</v>
      </c>
      <c r="P112" s="21">
        <f t="shared" si="43"/>
        <v>2975.3636111111109</v>
      </c>
      <c r="Q112" s="22">
        <v>37.200000000000003</v>
      </c>
      <c r="R112" s="19">
        <v>40</v>
      </c>
      <c r="S112" s="16">
        <v>70.459999999999994</v>
      </c>
      <c r="T112" s="18"/>
      <c r="U112" s="11"/>
      <c r="V112" s="11"/>
      <c r="W112" s="9"/>
      <c r="X112" s="10"/>
    </row>
    <row r="113" spans="1:24" s="3" customFormat="1" ht="15.75" customHeight="1" x14ac:dyDescent="0.25">
      <c r="A113" s="41"/>
      <c r="B113" s="41"/>
      <c r="C113" s="41"/>
      <c r="D113" s="41"/>
      <c r="E113" s="5">
        <v>2015</v>
      </c>
      <c r="F113" s="16">
        <f>29877.72/6</f>
        <v>4979.62</v>
      </c>
      <c r="G113" s="16">
        <f>14231.31/6</f>
        <v>2371.8849999999998</v>
      </c>
      <c r="H113" s="17" t="s">
        <v>9</v>
      </c>
      <c r="I113" s="16">
        <f>17363.86/6</f>
        <v>2893.9766666666669</v>
      </c>
      <c r="J113" s="20">
        <f>19575.2/6</f>
        <v>3262.5333333333333</v>
      </c>
      <c r="K113" s="20">
        <f>20390.19/6</f>
        <v>3398.3649999999998</v>
      </c>
      <c r="L113" s="20">
        <f>19015.34/12</f>
        <v>1584.6116666666667</v>
      </c>
      <c r="M113" s="20">
        <f>17794.34/6</f>
        <v>2965.7233333333334</v>
      </c>
      <c r="N113" s="20">
        <f>19614.78/6</f>
        <v>3269.1299999999997</v>
      </c>
      <c r="O113" s="20">
        <f>15068.7/6</f>
        <v>2511.4500000000003</v>
      </c>
      <c r="P113" s="21">
        <f t="shared" si="43"/>
        <v>3026.366111111111</v>
      </c>
      <c r="Q113" s="22">
        <v>37.229999999999997</v>
      </c>
      <c r="R113" s="19">
        <v>40</v>
      </c>
      <c r="S113" s="16">
        <v>71.650000000000006</v>
      </c>
      <c r="T113" s="18" t="e">
        <f>#REF!/S225/6</f>
        <v>#REF!</v>
      </c>
      <c r="U113" s="11" t="e">
        <f>100-#REF!</f>
        <v>#REF!</v>
      </c>
      <c r="V113" s="11" t="e">
        <f t="shared" ref="V113" si="46">U113*6</f>
        <v>#REF!</v>
      </c>
      <c r="W113" s="9"/>
      <c r="X113" s="10" t="e">
        <f>#REF!+U113</f>
        <v>#REF!</v>
      </c>
    </row>
    <row r="114" spans="1:24" s="3" customFormat="1" ht="15.75" customHeight="1" x14ac:dyDescent="0.25">
      <c r="A114" s="36" t="s">
        <v>35</v>
      </c>
      <c r="B114" s="37"/>
      <c r="C114" s="37"/>
      <c r="D114" s="37"/>
      <c r="E114" s="38"/>
      <c r="F114" s="25">
        <f>AVERAGE(F105:F113)</f>
        <v>4606.5133333333333</v>
      </c>
      <c r="G114" s="26" t="s">
        <v>9</v>
      </c>
      <c r="H114" s="26" t="s">
        <v>9</v>
      </c>
      <c r="I114" s="26" t="s">
        <v>9</v>
      </c>
      <c r="J114" s="28">
        <f>AVERAGE(J105:J113)</f>
        <v>2537.2066666666669</v>
      </c>
      <c r="K114" s="28">
        <f t="shared" ref="K114:O114" si="47">AVERAGE(K105:K113)</f>
        <v>2619.9838888888885</v>
      </c>
      <c r="L114" s="28">
        <f t="shared" si="47"/>
        <v>2386.2079629629634</v>
      </c>
      <c r="M114" s="28">
        <f t="shared" si="47"/>
        <v>2520.1985185185185</v>
      </c>
      <c r="N114" s="28">
        <f t="shared" si="47"/>
        <v>2705.9886111111109</v>
      </c>
      <c r="O114" s="28">
        <f t="shared" si="47"/>
        <v>2360.1901041666665</v>
      </c>
      <c r="P114" s="26" t="s">
        <v>9</v>
      </c>
      <c r="Q114" s="26" t="s">
        <v>9</v>
      </c>
      <c r="R114" s="27" t="s">
        <v>9</v>
      </c>
      <c r="S114" s="26" t="s">
        <v>9</v>
      </c>
      <c r="T114" s="18"/>
      <c r="U114" s="11"/>
      <c r="V114" s="11"/>
      <c r="W114" s="9"/>
      <c r="X114" s="10"/>
    </row>
    <row r="115" spans="1:24" s="3" customFormat="1" ht="12.75" customHeight="1" x14ac:dyDescent="0.25">
      <c r="A115" s="43" t="s">
        <v>26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18" t="e">
        <f>#REF!/#REF!/6</f>
        <v>#REF!</v>
      </c>
      <c r="U115" s="11" t="e">
        <f>100-#REF!</f>
        <v>#REF!</v>
      </c>
      <c r="V115" s="11" t="e">
        <f t="shared" si="3"/>
        <v>#REF!</v>
      </c>
      <c r="W115" s="9"/>
      <c r="X115" s="10" t="e">
        <f>#REF!+U115</f>
        <v>#REF!</v>
      </c>
    </row>
    <row r="116" spans="1:24" s="3" customFormat="1" ht="12.75" customHeight="1" x14ac:dyDescent="0.25">
      <c r="A116" s="41">
        <v>1</v>
      </c>
      <c r="B116" s="41">
        <v>235</v>
      </c>
      <c r="C116" s="41" t="s">
        <v>64</v>
      </c>
      <c r="D116" s="41" t="s">
        <v>65</v>
      </c>
      <c r="E116" s="5">
        <v>2013</v>
      </c>
      <c r="F116" s="16">
        <f>42561.22/12</f>
        <v>3546.7683333333334</v>
      </c>
      <c r="G116" s="16">
        <f>31942.24/12</f>
        <v>2661.8533333333335</v>
      </c>
      <c r="H116" s="17" t="s">
        <v>9</v>
      </c>
      <c r="I116" s="16">
        <f>15383.2/12</f>
        <v>1281.9333333333334</v>
      </c>
      <c r="J116" s="16">
        <f>22304.84/12</f>
        <v>1858.7366666666667</v>
      </c>
      <c r="K116" s="16">
        <f>22086.11/12</f>
        <v>1840.5091666666667</v>
      </c>
      <c r="L116" s="16">
        <f>22459.57/12</f>
        <v>1871.6308333333334</v>
      </c>
      <c r="M116" s="16">
        <f>20934.7/12</f>
        <v>1744.5583333333334</v>
      </c>
      <c r="N116" s="17" t="s">
        <v>9</v>
      </c>
      <c r="O116" s="17" t="s">
        <v>9</v>
      </c>
      <c r="P116" s="21">
        <f t="shared" ref="P116:P124" si="48">AVERAGE(F116:O116)</f>
        <v>2115.1414285714286</v>
      </c>
      <c r="Q116" s="22">
        <f>449/12</f>
        <v>37.416666666666664</v>
      </c>
      <c r="R116" s="19">
        <v>30</v>
      </c>
      <c r="S116" s="16">
        <v>54.08</v>
      </c>
      <c r="T116" s="18"/>
      <c r="U116" s="11"/>
      <c r="V116" s="11"/>
      <c r="W116" s="9"/>
      <c r="X116" s="10"/>
    </row>
    <row r="117" spans="1:24" s="3" customFormat="1" ht="12.75" customHeight="1" x14ac:dyDescent="0.25">
      <c r="A117" s="41"/>
      <c r="B117" s="41"/>
      <c r="C117" s="41"/>
      <c r="D117" s="41"/>
      <c r="E117" s="5">
        <v>2014</v>
      </c>
      <c r="F117" s="16">
        <f>48024.52/12</f>
        <v>4002.0433333333331</v>
      </c>
      <c r="G117" s="16">
        <f>37177.28/12</f>
        <v>3098.1066666666666</v>
      </c>
      <c r="H117" s="17" t="s">
        <v>9</v>
      </c>
      <c r="I117" s="16">
        <f>13090.14/12</f>
        <v>1090.845</v>
      </c>
      <c r="J117" s="16">
        <f>26497.96/12</f>
        <v>2208.1633333333334</v>
      </c>
      <c r="K117" s="16">
        <f>26927.08/12</f>
        <v>2243.9233333333336</v>
      </c>
      <c r="L117" s="16">
        <f>26586.89/12</f>
        <v>2215.5741666666668</v>
      </c>
      <c r="M117" s="16">
        <f>27007.8/12</f>
        <v>2250.65</v>
      </c>
      <c r="N117" s="17" t="s">
        <v>9</v>
      </c>
      <c r="O117" s="17" t="s">
        <v>9</v>
      </c>
      <c r="P117" s="21">
        <f t="shared" si="48"/>
        <v>2444.1865476190478</v>
      </c>
      <c r="Q117" s="22">
        <f>511.35/12</f>
        <v>42.612500000000004</v>
      </c>
      <c r="R117" s="19">
        <v>30</v>
      </c>
      <c r="S117" s="16">
        <v>57.48</v>
      </c>
      <c r="T117" s="18" t="e">
        <f>#REF!/#REF!/6</f>
        <v>#REF!</v>
      </c>
      <c r="U117" s="11" t="e">
        <f>100-#REF!</f>
        <v>#REF!</v>
      </c>
      <c r="V117" s="11" t="e">
        <f t="shared" ref="V117" si="49">U117*6</f>
        <v>#REF!</v>
      </c>
      <c r="W117" s="9"/>
      <c r="X117" s="10" t="e">
        <f>#REF!+U117</f>
        <v>#REF!</v>
      </c>
    </row>
    <row r="118" spans="1:24" s="3" customFormat="1" ht="12.75" customHeight="1" x14ac:dyDescent="0.25">
      <c r="A118" s="41"/>
      <c r="B118" s="41"/>
      <c r="C118" s="41"/>
      <c r="D118" s="41"/>
      <c r="E118" s="5">
        <v>2015</v>
      </c>
      <c r="F118" s="16">
        <f>21523.3/6</f>
        <v>3587.2166666666667</v>
      </c>
      <c r="G118" s="16">
        <f>17098.83/6</f>
        <v>2849.8050000000003</v>
      </c>
      <c r="H118" s="17" t="s">
        <v>9</v>
      </c>
      <c r="I118" s="16">
        <f>17098.83/6</f>
        <v>2849.8050000000003</v>
      </c>
      <c r="J118" s="16">
        <f>12324.34/6</f>
        <v>2054.0566666666668</v>
      </c>
      <c r="K118" s="16">
        <f>12178.27/6</f>
        <v>2029.7116666666668</v>
      </c>
      <c r="L118" s="16">
        <f>12148.86/6</f>
        <v>2024.8100000000002</v>
      </c>
      <c r="M118" s="16">
        <f>12330.32/12</f>
        <v>1027.5266666666666</v>
      </c>
      <c r="N118" s="17" t="s">
        <v>9</v>
      </c>
      <c r="O118" s="17" t="s">
        <v>9</v>
      </c>
      <c r="P118" s="21">
        <f t="shared" si="48"/>
        <v>2346.1330952380954</v>
      </c>
      <c r="Q118" s="22">
        <f>229.48/6</f>
        <v>38.246666666666663</v>
      </c>
      <c r="R118" s="19">
        <v>30</v>
      </c>
      <c r="S118" s="16">
        <v>50.31</v>
      </c>
      <c r="T118" s="18"/>
      <c r="U118" s="11"/>
      <c r="V118" s="11"/>
      <c r="W118" s="9"/>
      <c r="X118" s="10"/>
    </row>
    <row r="119" spans="1:24" s="3" customFormat="1" ht="12.75" customHeight="1" x14ac:dyDescent="0.25">
      <c r="A119" s="41">
        <v>2</v>
      </c>
      <c r="B119" s="41">
        <v>248</v>
      </c>
      <c r="C119" s="41" t="s">
        <v>66</v>
      </c>
      <c r="D119" s="41" t="s">
        <v>79</v>
      </c>
      <c r="E119" s="5">
        <v>2013</v>
      </c>
      <c r="F119" s="16">
        <f>36809.92/12</f>
        <v>3067.4933333333333</v>
      </c>
      <c r="G119" s="16">
        <f>26070.24/12</f>
        <v>2172.52</v>
      </c>
      <c r="H119" s="17" t="s">
        <v>9</v>
      </c>
      <c r="I119" s="17" t="s">
        <v>9</v>
      </c>
      <c r="J119" s="16">
        <f>26700/12</f>
        <v>2225</v>
      </c>
      <c r="K119" s="16">
        <f>26700/12</f>
        <v>2225</v>
      </c>
      <c r="L119" s="16">
        <f>22870.88/12</f>
        <v>1905.9066666666668</v>
      </c>
      <c r="M119" s="16">
        <f>26700/12</f>
        <v>2225</v>
      </c>
      <c r="N119" s="17" t="s">
        <v>9</v>
      </c>
      <c r="O119" s="17" t="s">
        <v>9</v>
      </c>
      <c r="P119" s="21">
        <f t="shared" si="48"/>
        <v>2303.4866666666662</v>
      </c>
      <c r="Q119" s="22">
        <f>936.3/12</f>
        <v>78.024999999999991</v>
      </c>
      <c r="R119" s="19">
        <v>25</v>
      </c>
      <c r="S119" s="16">
        <v>59.34</v>
      </c>
      <c r="T119" s="18"/>
      <c r="U119" s="11"/>
      <c r="V119" s="11"/>
      <c r="W119" s="9"/>
      <c r="X119" s="10"/>
    </row>
    <row r="120" spans="1:24" s="3" customFormat="1" ht="12.75" customHeight="1" x14ac:dyDescent="0.25">
      <c r="A120" s="41"/>
      <c r="B120" s="41"/>
      <c r="C120" s="41"/>
      <c r="D120" s="41"/>
      <c r="E120" s="5">
        <v>2014</v>
      </c>
      <c r="F120" s="16">
        <f>38842.94/12</f>
        <v>3236.9116666666669</v>
      </c>
      <c r="G120" s="16">
        <f>28600/12</f>
        <v>2383.3333333333335</v>
      </c>
      <c r="H120" s="17" t="s">
        <v>9</v>
      </c>
      <c r="I120" s="17" t="s">
        <v>9</v>
      </c>
      <c r="J120" s="16">
        <f>27400/12</f>
        <v>2283.3333333333335</v>
      </c>
      <c r="K120" s="16">
        <f>27400/12</f>
        <v>2283.3333333333335</v>
      </c>
      <c r="L120" s="16">
        <f>26115.06/12</f>
        <v>2176.2550000000001</v>
      </c>
      <c r="M120" s="16">
        <f>27298.5/12</f>
        <v>2274.875</v>
      </c>
      <c r="N120" s="17" t="s">
        <v>9</v>
      </c>
      <c r="O120" s="17" t="s">
        <v>9</v>
      </c>
      <c r="P120" s="21">
        <f t="shared" si="48"/>
        <v>2439.6736111111113</v>
      </c>
      <c r="Q120" s="22">
        <f>881.68/12</f>
        <v>73.473333333333329</v>
      </c>
      <c r="R120" s="19">
        <v>25</v>
      </c>
      <c r="S120" s="16">
        <v>58.58</v>
      </c>
      <c r="T120" s="18" t="e">
        <f>#REF!/S234/6</f>
        <v>#REF!</v>
      </c>
      <c r="U120" s="11" t="e">
        <f>100-#REF!</f>
        <v>#REF!</v>
      </c>
      <c r="V120" s="11" t="e">
        <f t="shared" ref="V120:V122" si="50">U120*6</f>
        <v>#REF!</v>
      </c>
      <c r="W120" s="9"/>
      <c r="X120" s="10" t="e">
        <f>#REF!+U120</f>
        <v>#REF!</v>
      </c>
    </row>
    <row r="121" spans="1:24" s="3" customFormat="1" ht="11.25" x14ac:dyDescent="0.25">
      <c r="A121" s="41"/>
      <c r="B121" s="41"/>
      <c r="C121" s="41"/>
      <c r="D121" s="41"/>
      <c r="E121" s="5">
        <v>2015</v>
      </c>
      <c r="F121" s="16">
        <f>19402.23/6</f>
        <v>3233.7049999999999</v>
      </c>
      <c r="G121" s="16">
        <f>14300/6</f>
        <v>2383.3333333333335</v>
      </c>
      <c r="H121" s="17" t="s">
        <v>9</v>
      </c>
      <c r="I121" s="17" t="s">
        <v>9</v>
      </c>
      <c r="J121" s="16">
        <f>13700/6</f>
        <v>2283.3333333333335</v>
      </c>
      <c r="K121" s="16">
        <f>13700/6</f>
        <v>2283.3333333333335</v>
      </c>
      <c r="L121" s="16">
        <f>12820.14/6</f>
        <v>2136.69</v>
      </c>
      <c r="M121" s="16">
        <f>13277.44/6</f>
        <v>2212.9066666666668</v>
      </c>
      <c r="N121" s="17" t="s">
        <v>9</v>
      </c>
      <c r="O121" s="17" t="s">
        <v>9</v>
      </c>
      <c r="P121" s="21">
        <f t="shared" si="48"/>
        <v>2422.2169444444448</v>
      </c>
      <c r="Q121" s="22">
        <f>253.1/6</f>
        <v>42.18333333333333</v>
      </c>
      <c r="R121" s="19">
        <v>25</v>
      </c>
      <c r="S121" s="16">
        <v>55.41</v>
      </c>
      <c r="T121" s="18" t="e">
        <f>#REF!/S235/6</f>
        <v>#REF!</v>
      </c>
      <c r="U121" s="11" t="e">
        <f>100-#REF!</f>
        <v>#REF!</v>
      </c>
      <c r="V121" s="11" t="e">
        <f t="shared" si="50"/>
        <v>#REF!</v>
      </c>
      <c r="W121" s="9"/>
      <c r="X121" s="10" t="e">
        <f>#REF!+U121</f>
        <v>#REF!</v>
      </c>
    </row>
    <row r="122" spans="1:24" s="3" customFormat="1" ht="12.75" customHeight="1" x14ac:dyDescent="0.25">
      <c r="A122" s="41">
        <v>3</v>
      </c>
      <c r="B122" s="41">
        <v>250</v>
      </c>
      <c r="C122" s="41" t="s">
        <v>119</v>
      </c>
      <c r="D122" s="41" t="s">
        <v>87</v>
      </c>
      <c r="E122" s="5">
        <v>2013</v>
      </c>
      <c r="F122" s="16">
        <f>38800/12</f>
        <v>3233.3333333333335</v>
      </c>
      <c r="G122" s="16">
        <f>33417/12</f>
        <v>2784.75</v>
      </c>
      <c r="H122" s="17" t="s">
        <v>9</v>
      </c>
      <c r="I122" s="16">
        <f>24743/12</f>
        <v>2061.9166666666665</v>
      </c>
      <c r="J122" s="16">
        <f>36778/12</f>
        <v>3064.8333333333335</v>
      </c>
      <c r="K122" s="16">
        <f>28128/12</f>
        <v>2344</v>
      </c>
      <c r="L122" s="16">
        <f>38981.66/12</f>
        <v>3248.4716666666668</v>
      </c>
      <c r="M122" s="16">
        <f>36781.56/12</f>
        <v>3065.1299999999997</v>
      </c>
      <c r="N122" s="17" t="s">
        <v>9</v>
      </c>
      <c r="O122" s="17" t="s">
        <v>9</v>
      </c>
      <c r="P122" s="21">
        <f t="shared" si="48"/>
        <v>2828.9192857142857</v>
      </c>
      <c r="Q122" s="22">
        <v>30</v>
      </c>
      <c r="R122" s="19">
        <v>35</v>
      </c>
      <c r="S122" s="16">
        <v>53.1</v>
      </c>
      <c r="T122" s="18" t="e">
        <f>#REF!/S236/6</f>
        <v>#REF!</v>
      </c>
      <c r="U122" s="11" t="e">
        <f>100-#REF!</f>
        <v>#REF!</v>
      </c>
      <c r="V122" s="11" t="e">
        <f t="shared" si="50"/>
        <v>#REF!</v>
      </c>
      <c r="W122" s="9"/>
      <c r="X122" s="10" t="e">
        <f>#REF!+U122</f>
        <v>#REF!</v>
      </c>
    </row>
    <row r="123" spans="1:24" s="3" customFormat="1" ht="12.75" customHeight="1" x14ac:dyDescent="0.25">
      <c r="A123" s="41"/>
      <c r="B123" s="41"/>
      <c r="C123" s="41"/>
      <c r="D123" s="41"/>
      <c r="E123" s="5">
        <v>2014</v>
      </c>
      <c r="F123" s="16">
        <f>20160/12</f>
        <v>1680</v>
      </c>
      <c r="G123" s="16">
        <f>43775.5/12</f>
        <v>3647.9583333333335</v>
      </c>
      <c r="H123" s="17" t="s">
        <v>9</v>
      </c>
      <c r="I123" s="16">
        <f>23054.83/12</f>
        <v>1921.2358333333334</v>
      </c>
      <c r="J123" s="16">
        <f>32856.16/12</f>
        <v>2738.0133333333338</v>
      </c>
      <c r="K123" s="16">
        <f>27478/12</f>
        <v>2289.8333333333335</v>
      </c>
      <c r="L123" s="16">
        <f>44598.5/12</f>
        <v>3716.5416666666665</v>
      </c>
      <c r="M123" s="16">
        <f>35578/12</f>
        <v>2964.8333333333335</v>
      </c>
      <c r="N123" s="17" t="s">
        <v>9</v>
      </c>
      <c r="O123" s="17" t="s">
        <v>9</v>
      </c>
      <c r="P123" s="21">
        <f t="shared" si="48"/>
        <v>2708.3451190476189</v>
      </c>
      <c r="Q123" s="22">
        <v>30</v>
      </c>
      <c r="R123" s="19">
        <v>35</v>
      </c>
      <c r="S123" s="16">
        <v>53.08</v>
      </c>
      <c r="T123" s="18"/>
      <c r="U123" s="11"/>
      <c r="V123" s="11"/>
      <c r="W123" s="9"/>
      <c r="X123" s="10"/>
    </row>
    <row r="124" spans="1:24" s="3" customFormat="1" ht="12.75" customHeight="1" x14ac:dyDescent="0.25">
      <c r="A124" s="41"/>
      <c r="B124" s="41"/>
      <c r="C124" s="41"/>
      <c r="D124" s="41"/>
      <c r="E124" s="5">
        <v>2015</v>
      </c>
      <c r="F124" s="16">
        <f>10036.16/6</f>
        <v>1672.6933333333334</v>
      </c>
      <c r="G124" s="16">
        <f>21050.19/6</f>
        <v>3508.3649999999998</v>
      </c>
      <c r="H124" s="17" t="s">
        <v>9</v>
      </c>
      <c r="I124" s="16">
        <f>11543.39/6</f>
        <v>1923.8983333333333</v>
      </c>
      <c r="J124" s="16">
        <f>16587.19/6</f>
        <v>2764.5316666666663</v>
      </c>
      <c r="K124" s="16">
        <f>12729.64/6</f>
        <v>2121.6066666666666</v>
      </c>
      <c r="L124" s="16">
        <f>21619.79/6</f>
        <v>3603.2983333333336</v>
      </c>
      <c r="M124" s="16">
        <f>17288.43/6</f>
        <v>2881.4050000000002</v>
      </c>
      <c r="N124" s="17" t="s">
        <v>9</v>
      </c>
      <c r="O124" s="17" t="s">
        <v>9</v>
      </c>
      <c r="P124" s="21">
        <f t="shared" si="48"/>
        <v>2639.3997619047618</v>
      </c>
      <c r="Q124" s="22">
        <v>30</v>
      </c>
      <c r="R124" s="19">
        <v>35</v>
      </c>
      <c r="S124" s="16">
        <v>47.8</v>
      </c>
      <c r="T124" s="18" t="e">
        <f>#REF!/S238/6</f>
        <v>#REF!</v>
      </c>
      <c r="U124" s="11" t="e">
        <f>100-#REF!</f>
        <v>#REF!</v>
      </c>
      <c r="V124" s="11" t="e">
        <f t="shared" ref="V124" si="51">U124*6</f>
        <v>#REF!</v>
      </c>
      <c r="W124" s="9"/>
      <c r="X124" s="10" t="e">
        <f>#REF!+U124</f>
        <v>#REF!</v>
      </c>
    </row>
    <row r="125" spans="1:24" s="3" customFormat="1" ht="12.75" customHeight="1" x14ac:dyDescent="0.25">
      <c r="A125" s="36" t="s">
        <v>35</v>
      </c>
      <c r="B125" s="37"/>
      <c r="C125" s="37"/>
      <c r="D125" s="37"/>
      <c r="E125" s="38"/>
      <c r="F125" s="25">
        <f>AVERAGE(F116:F124)</f>
        <v>3028.9072222222221</v>
      </c>
      <c r="G125" s="26" t="s">
        <v>9</v>
      </c>
      <c r="H125" s="26" t="s">
        <v>9</v>
      </c>
      <c r="I125" s="26" t="s">
        <v>9</v>
      </c>
      <c r="J125" s="25">
        <f>AVERAGE(J116:J124)</f>
        <v>2386.6668518518518</v>
      </c>
      <c r="K125" s="25">
        <f t="shared" ref="K125:M125" si="52">AVERAGE(K116:K124)</f>
        <v>2184.5834259259263</v>
      </c>
      <c r="L125" s="25">
        <f t="shared" si="52"/>
        <v>2544.3531481481482</v>
      </c>
      <c r="M125" s="25">
        <f t="shared" si="52"/>
        <v>2294.0983333333334</v>
      </c>
      <c r="N125" s="26" t="s">
        <v>9</v>
      </c>
      <c r="O125" s="26" t="s">
        <v>9</v>
      </c>
      <c r="P125" s="26" t="s">
        <v>9</v>
      </c>
      <c r="Q125" s="26" t="s">
        <v>9</v>
      </c>
      <c r="R125" s="27" t="s">
        <v>9</v>
      </c>
      <c r="S125" s="26" t="s">
        <v>9</v>
      </c>
      <c r="T125" s="18"/>
      <c r="U125" s="11"/>
      <c r="V125" s="11"/>
      <c r="W125" s="9"/>
      <c r="X125" s="10"/>
    </row>
    <row r="126" spans="1:24" s="3" customFormat="1" ht="12.75" customHeight="1" x14ac:dyDescent="0.25">
      <c r="A126" s="43" t="s">
        <v>21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18" t="e">
        <f>#REF!/#REF!/6</f>
        <v>#REF!</v>
      </c>
      <c r="U126" s="11" t="e">
        <f>100-#REF!</f>
        <v>#REF!</v>
      </c>
      <c r="V126" s="11" t="e">
        <f t="shared" si="3"/>
        <v>#REF!</v>
      </c>
      <c r="W126" s="9"/>
      <c r="X126" s="10" t="e">
        <f>#REF!+U126</f>
        <v>#REF!</v>
      </c>
    </row>
    <row r="127" spans="1:24" s="3" customFormat="1" ht="12.75" customHeight="1" x14ac:dyDescent="0.25">
      <c r="A127" s="41">
        <v>1</v>
      </c>
      <c r="B127" s="41">
        <v>269</v>
      </c>
      <c r="C127" s="41" t="s">
        <v>67</v>
      </c>
      <c r="D127" s="41" t="s">
        <v>68</v>
      </c>
      <c r="E127" s="5">
        <v>2013</v>
      </c>
      <c r="F127" s="16">
        <f>76660.25/12</f>
        <v>6388.354166666667</v>
      </c>
      <c r="G127" s="17" t="s">
        <v>9</v>
      </c>
      <c r="H127" s="17" t="s">
        <v>9</v>
      </c>
      <c r="I127" s="16">
        <f>50979.53/12</f>
        <v>4248.2941666666666</v>
      </c>
      <c r="J127" s="16">
        <f>34507.1/12</f>
        <v>2875.5916666666667</v>
      </c>
      <c r="K127" s="16">
        <f>46943/12</f>
        <v>3911.9166666666665</v>
      </c>
      <c r="L127" s="16">
        <f>43116.94/12</f>
        <v>3593.0783333333334</v>
      </c>
      <c r="M127" s="16">
        <f>34337.4/12</f>
        <v>2861.4500000000003</v>
      </c>
      <c r="N127" s="16">
        <f>42703.1/12</f>
        <v>3558.5916666666667</v>
      </c>
      <c r="O127" s="16">
        <f>39257.2/12</f>
        <v>3271.4333333333329</v>
      </c>
      <c r="P127" s="21">
        <f t="shared" ref="P127:P135" si="53">AVERAGE(F127:O127)</f>
        <v>3838.5887500000008</v>
      </c>
      <c r="Q127" s="22">
        <v>53</v>
      </c>
      <c r="R127" s="19">
        <v>35</v>
      </c>
      <c r="S127" s="16">
        <v>75</v>
      </c>
      <c r="T127" s="18"/>
      <c r="U127" s="11"/>
      <c r="V127" s="11"/>
      <c r="W127" s="9"/>
      <c r="X127" s="10"/>
    </row>
    <row r="128" spans="1:24" s="3" customFormat="1" ht="12.75" customHeight="1" x14ac:dyDescent="0.25">
      <c r="A128" s="41"/>
      <c r="B128" s="41"/>
      <c r="C128" s="41"/>
      <c r="D128" s="41"/>
      <c r="E128" s="5">
        <v>2014</v>
      </c>
      <c r="F128" s="16">
        <f>77749.39/12</f>
        <v>6479.1158333333333</v>
      </c>
      <c r="G128" s="17" t="s">
        <v>9</v>
      </c>
      <c r="H128" s="17" t="s">
        <v>9</v>
      </c>
      <c r="I128" s="16">
        <f>51247.76/12</f>
        <v>4270.6466666666665</v>
      </c>
      <c r="J128" s="16">
        <f>28529.78/12</f>
        <v>2377.4816666666666</v>
      </c>
      <c r="K128" s="16">
        <f>45693.64/12</f>
        <v>3807.8033333333333</v>
      </c>
      <c r="L128" s="16">
        <f>45710/12</f>
        <v>3809.1666666666665</v>
      </c>
      <c r="M128" s="16">
        <f>41128.14/12</f>
        <v>3427.3449999999998</v>
      </c>
      <c r="N128" s="16">
        <f>28688.64/12</f>
        <v>2390.7199999999998</v>
      </c>
      <c r="O128" s="16">
        <f>42742.22/12</f>
        <v>3561.8516666666669</v>
      </c>
      <c r="P128" s="21">
        <f t="shared" si="53"/>
        <v>3765.516354166667</v>
      </c>
      <c r="Q128" s="22">
        <v>50</v>
      </c>
      <c r="R128" s="19">
        <v>35</v>
      </c>
      <c r="S128" s="16">
        <v>76</v>
      </c>
      <c r="T128" s="18" t="e">
        <f>#REF!/#REF!/6</f>
        <v>#REF!</v>
      </c>
      <c r="U128" s="11" t="e">
        <f>100-#REF!</f>
        <v>#REF!</v>
      </c>
      <c r="V128" s="11" t="e">
        <f t="shared" ref="V128" si="54">U128*6</f>
        <v>#REF!</v>
      </c>
      <c r="W128" s="9"/>
      <c r="X128" s="10" t="e">
        <f>#REF!+U128</f>
        <v>#REF!</v>
      </c>
    </row>
    <row r="129" spans="1:24" s="3" customFormat="1" ht="12.75" customHeight="1" x14ac:dyDescent="0.25">
      <c r="A129" s="41"/>
      <c r="B129" s="41"/>
      <c r="C129" s="41"/>
      <c r="D129" s="41"/>
      <c r="E129" s="5">
        <v>2015</v>
      </c>
      <c r="F129" s="16">
        <f>36529.72/6</f>
        <v>6088.2866666666669</v>
      </c>
      <c r="G129" s="17" t="s">
        <v>9</v>
      </c>
      <c r="H129" s="17" t="s">
        <v>9</v>
      </c>
      <c r="I129" s="16">
        <f>23194.65/6</f>
        <v>3865.7750000000001</v>
      </c>
      <c r="J129" s="16">
        <f>19142.89/6</f>
        <v>3190.4816666666666</v>
      </c>
      <c r="K129" s="16">
        <f>21430.53/6</f>
        <v>3571.7549999999997</v>
      </c>
      <c r="L129" s="16">
        <f>21260.59/6</f>
        <v>3543.4316666666668</v>
      </c>
      <c r="M129" s="16">
        <f>18212.05/6</f>
        <v>3035.3416666666667</v>
      </c>
      <c r="N129" s="16">
        <f>13168.49/6</f>
        <v>2194.7483333333334</v>
      </c>
      <c r="O129" s="16">
        <f>19709.06/6</f>
        <v>3284.8433333333337</v>
      </c>
      <c r="P129" s="21">
        <f t="shared" si="53"/>
        <v>3596.8329166666667</v>
      </c>
      <c r="Q129" s="22">
        <v>43</v>
      </c>
      <c r="R129" s="19">
        <v>35</v>
      </c>
      <c r="S129" s="16">
        <v>75</v>
      </c>
      <c r="T129" s="18"/>
      <c r="U129" s="11"/>
      <c r="V129" s="11"/>
      <c r="W129" s="9"/>
      <c r="X129" s="10"/>
    </row>
    <row r="130" spans="1:24" s="3" customFormat="1" ht="12.75" customHeight="1" x14ac:dyDescent="0.25">
      <c r="A130" s="41">
        <v>2</v>
      </c>
      <c r="B130" s="41">
        <v>270</v>
      </c>
      <c r="C130" s="41" t="s">
        <v>69</v>
      </c>
      <c r="D130" s="41" t="s">
        <v>70</v>
      </c>
      <c r="E130" s="5">
        <v>2013</v>
      </c>
      <c r="F130" s="20">
        <f>92120.53/12</f>
        <v>7676.7108333333335</v>
      </c>
      <c r="G130" s="20">
        <f>61163.7/12</f>
        <v>5096.9749999999995</v>
      </c>
      <c r="H130" s="17" t="s">
        <v>9</v>
      </c>
      <c r="I130" s="16">
        <f>52855.29/12</f>
        <v>4404.6075000000001</v>
      </c>
      <c r="J130" s="16">
        <f>35475.12/12</f>
        <v>2956.26</v>
      </c>
      <c r="K130" s="16">
        <f>40770.47/12</f>
        <v>3397.5391666666669</v>
      </c>
      <c r="L130" s="16">
        <f>30658.56/12</f>
        <v>2554.88</v>
      </c>
      <c r="M130" s="16">
        <f>41357.1/12</f>
        <v>3446.4249999999997</v>
      </c>
      <c r="N130" s="16">
        <f>41357.1/12</f>
        <v>3446.4249999999997</v>
      </c>
      <c r="O130" s="16">
        <f>44454.8/12</f>
        <v>3704.5666666666671</v>
      </c>
      <c r="P130" s="21">
        <f t="shared" si="53"/>
        <v>4076.0432407407407</v>
      </c>
      <c r="Q130" s="22">
        <v>55.1</v>
      </c>
      <c r="R130" s="19">
        <v>101</v>
      </c>
      <c r="S130" s="16">
        <v>56.06</v>
      </c>
      <c r="T130" s="18"/>
      <c r="U130" s="11"/>
      <c r="V130" s="11"/>
      <c r="W130" s="9"/>
      <c r="X130" s="10"/>
    </row>
    <row r="131" spans="1:24" s="3" customFormat="1" ht="12.75" customHeight="1" x14ac:dyDescent="0.25">
      <c r="A131" s="41"/>
      <c r="B131" s="41"/>
      <c r="C131" s="41"/>
      <c r="D131" s="41"/>
      <c r="E131" s="5">
        <v>2014</v>
      </c>
      <c r="F131" s="20">
        <f>97213.48/12</f>
        <v>8101.123333333333</v>
      </c>
      <c r="G131" s="20">
        <f>64493.26/12</f>
        <v>5374.4383333333335</v>
      </c>
      <c r="H131" s="17" t="s">
        <v>9</v>
      </c>
      <c r="I131" s="16">
        <f>53971.95/12</f>
        <v>4497.6624999999995</v>
      </c>
      <c r="J131" s="16">
        <f>43461.51/12</f>
        <v>3621.7925</v>
      </c>
      <c r="K131" s="16">
        <f>37569.97/12</f>
        <v>3130.8308333333334</v>
      </c>
      <c r="L131" s="16">
        <f>31732.57/12</f>
        <v>2644.3808333333332</v>
      </c>
      <c r="M131" s="16">
        <f>44455.88/12</f>
        <v>3704.6566666666663</v>
      </c>
      <c r="N131" s="16">
        <f>44455.88/12</f>
        <v>3704.6566666666663</v>
      </c>
      <c r="O131" s="16">
        <f>45183.75/12</f>
        <v>3765.3125</v>
      </c>
      <c r="P131" s="21">
        <f t="shared" si="53"/>
        <v>4282.7615740740739</v>
      </c>
      <c r="Q131" s="22">
        <v>51.5</v>
      </c>
      <c r="R131" s="19">
        <v>101</v>
      </c>
      <c r="S131" s="16">
        <v>59.5</v>
      </c>
      <c r="T131" s="18" t="e">
        <f>#REF!/S247/6</f>
        <v>#REF!</v>
      </c>
      <c r="U131" s="11" t="e">
        <f>100-#REF!</f>
        <v>#REF!</v>
      </c>
      <c r="V131" s="11" t="e">
        <f t="shared" ref="V131:V133" si="55">U131*6</f>
        <v>#REF!</v>
      </c>
      <c r="W131" s="9"/>
      <c r="X131" s="10" t="e">
        <f>#REF!+U131</f>
        <v>#REF!</v>
      </c>
    </row>
    <row r="132" spans="1:24" s="3" customFormat="1" ht="11.25" x14ac:dyDescent="0.25">
      <c r="A132" s="41"/>
      <c r="B132" s="41"/>
      <c r="C132" s="41"/>
      <c r="D132" s="41"/>
      <c r="E132" s="5">
        <v>2015</v>
      </c>
      <c r="F132" s="20">
        <f>50240.03/6</f>
        <v>8373.3383333333331</v>
      </c>
      <c r="G132" s="20">
        <f>33276.64/6</f>
        <v>5546.1066666666666</v>
      </c>
      <c r="H132" s="17" t="s">
        <v>9</v>
      </c>
      <c r="I132" s="16">
        <f>27577.8/6</f>
        <v>4596.3</v>
      </c>
      <c r="J132" s="16">
        <f>19150.36/6</f>
        <v>3191.7266666666669</v>
      </c>
      <c r="K132" s="16">
        <f>20858.41/6</f>
        <v>3476.4016666666666</v>
      </c>
      <c r="L132" s="16">
        <f>17393.66/6</f>
        <v>2898.9433333333332</v>
      </c>
      <c r="M132" s="16">
        <f>22820.36/6</f>
        <v>3803.3933333333334</v>
      </c>
      <c r="N132" s="16">
        <f>22820.36/6</f>
        <v>3803.3933333333334</v>
      </c>
      <c r="O132" s="16">
        <f>23020.46/6</f>
        <v>3836.7433333333333</v>
      </c>
      <c r="P132" s="21">
        <f t="shared" si="53"/>
        <v>4391.8162962962961</v>
      </c>
      <c r="Q132" s="22">
        <v>64.5</v>
      </c>
      <c r="R132" s="19">
        <v>101</v>
      </c>
      <c r="S132" s="16">
        <v>63.33</v>
      </c>
      <c r="T132" s="18" t="e">
        <f>#REF!/S248/6</f>
        <v>#REF!</v>
      </c>
      <c r="U132" s="11" t="e">
        <f>100-#REF!</f>
        <v>#REF!</v>
      </c>
      <c r="V132" s="11" t="e">
        <f t="shared" si="55"/>
        <v>#REF!</v>
      </c>
      <c r="W132" s="9"/>
      <c r="X132" s="10" t="e">
        <f>#REF!+U132</f>
        <v>#REF!</v>
      </c>
    </row>
    <row r="133" spans="1:24" s="3" customFormat="1" ht="12.75" customHeight="1" x14ac:dyDescent="0.25">
      <c r="A133" s="41">
        <v>3</v>
      </c>
      <c r="B133" s="41">
        <v>280</v>
      </c>
      <c r="C133" s="41" t="s">
        <v>120</v>
      </c>
      <c r="D133" s="41" t="s">
        <v>75</v>
      </c>
      <c r="E133" s="5">
        <v>2013</v>
      </c>
      <c r="F133" s="20">
        <f>50513/12</f>
        <v>4209.416666666667</v>
      </c>
      <c r="G133" s="20">
        <f>27337.93/12</f>
        <v>2278.1608333333334</v>
      </c>
      <c r="H133" s="17" t="s">
        <v>9</v>
      </c>
      <c r="I133" s="16">
        <f>34926.9/12</f>
        <v>2910.5750000000003</v>
      </c>
      <c r="J133" s="16">
        <f>37630.3/12</f>
        <v>3135.8583333333336</v>
      </c>
      <c r="K133" s="16">
        <f>34684.7/12</f>
        <v>2890.3916666666664</v>
      </c>
      <c r="L133" s="16">
        <f>30845.3/12</f>
        <v>2570.4416666666666</v>
      </c>
      <c r="M133" s="16">
        <f>34111.6/12</f>
        <v>2842.6333333333332</v>
      </c>
      <c r="N133" s="17" t="s">
        <v>9</v>
      </c>
      <c r="O133" s="17" t="s">
        <v>9</v>
      </c>
      <c r="P133" s="21">
        <f t="shared" si="53"/>
        <v>2976.7825000000003</v>
      </c>
      <c r="Q133" s="22">
        <v>30</v>
      </c>
      <c r="R133" s="19">
        <v>25</v>
      </c>
      <c r="S133" s="16">
        <v>68.69</v>
      </c>
      <c r="T133" s="18" t="e">
        <f>#REF!/S249/6</f>
        <v>#REF!</v>
      </c>
      <c r="U133" s="11" t="e">
        <f>100-#REF!</f>
        <v>#REF!</v>
      </c>
      <c r="V133" s="11" t="e">
        <f t="shared" si="55"/>
        <v>#REF!</v>
      </c>
      <c r="W133" s="9"/>
      <c r="X133" s="10" t="e">
        <f>#REF!+U133</f>
        <v>#REF!</v>
      </c>
    </row>
    <row r="134" spans="1:24" s="3" customFormat="1" ht="12.75" customHeight="1" x14ac:dyDescent="0.25">
      <c r="A134" s="41"/>
      <c r="B134" s="41"/>
      <c r="C134" s="41"/>
      <c r="D134" s="41"/>
      <c r="E134" s="5">
        <v>2014</v>
      </c>
      <c r="F134" s="20">
        <f>53401.2/12</f>
        <v>4450.0999999999995</v>
      </c>
      <c r="G134" s="20">
        <f>27659.4/12</f>
        <v>2304.9500000000003</v>
      </c>
      <c r="H134" s="17" t="s">
        <v>9</v>
      </c>
      <c r="I134" s="16">
        <f>34721/12</f>
        <v>2893.4166666666665</v>
      </c>
      <c r="J134" s="16">
        <f>36469.3/12</f>
        <v>3039.1083333333336</v>
      </c>
      <c r="K134" s="16">
        <f>34767.5/12</f>
        <v>2897.2916666666665</v>
      </c>
      <c r="L134" s="16">
        <f>31444.3/12</f>
        <v>2620.3583333333331</v>
      </c>
      <c r="M134" s="16">
        <f>33411.9/12</f>
        <v>2784.3250000000003</v>
      </c>
      <c r="N134" s="17" t="s">
        <v>9</v>
      </c>
      <c r="O134" s="17" t="s">
        <v>9</v>
      </c>
      <c r="P134" s="21">
        <f t="shared" si="53"/>
        <v>2998.5071428571428</v>
      </c>
      <c r="Q134" s="22">
        <v>30</v>
      </c>
      <c r="R134" s="19">
        <v>25</v>
      </c>
      <c r="S134" s="16">
        <v>67.97</v>
      </c>
      <c r="T134" s="18"/>
      <c r="U134" s="11"/>
      <c r="V134" s="11"/>
      <c r="W134" s="9"/>
      <c r="X134" s="10"/>
    </row>
    <row r="135" spans="1:24" s="3" customFormat="1" ht="12.75" customHeight="1" x14ac:dyDescent="0.25">
      <c r="A135" s="41"/>
      <c r="B135" s="41"/>
      <c r="C135" s="41"/>
      <c r="D135" s="41"/>
      <c r="E135" s="5">
        <v>2015</v>
      </c>
      <c r="F135" s="20">
        <f>21003.5/6</f>
        <v>3500.5833333333335</v>
      </c>
      <c r="G135" s="20">
        <f>10669.8/6</f>
        <v>1778.3</v>
      </c>
      <c r="H135" s="17" t="s">
        <v>9</v>
      </c>
      <c r="I135" s="16">
        <f>14935.1/6</f>
        <v>2489.1833333333334</v>
      </c>
      <c r="J135" s="16">
        <f>15652/6</f>
        <v>2608.6666666666665</v>
      </c>
      <c r="K135" s="16">
        <f>14605.1/6</f>
        <v>2434.1833333333334</v>
      </c>
      <c r="L135" s="16">
        <f>13139.2/6</f>
        <v>2189.8666666666668</v>
      </c>
      <c r="M135" s="16">
        <f>14174.3/6</f>
        <v>2362.3833333333332</v>
      </c>
      <c r="N135" s="17" t="s">
        <v>9</v>
      </c>
      <c r="O135" s="17" t="s">
        <v>9</v>
      </c>
      <c r="P135" s="21">
        <f t="shared" si="53"/>
        <v>2480.4523809523812</v>
      </c>
      <c r="Q135" s="22">
        <v>30</v>
      </c>
      <c r="R135" s="19">
        <v>25</v>
      </c>
      <c r="S135" s="16">
        <v>56.79</v>
      </c>
      <c r="T135" s="18" t="e">
        <f>#REF!/S251/6</f>
        <v>#REF!</v>
      </c>
      <c r="U135" s="11" t="e">
        <f>100-#REF!</f>
        <v>#REF!</v>
      </c>
      <c r="V135" s="11" t="e">
        <f t="shared" ref="V135" si="56">U135*6</f>
        <v>#REF!</v>
      </c>
      <c r="W135" s="9"/>
      <c r="X135" s="10" t="e">
        <f>#REF!+U135</f>
        <v>#REF!</v>
      </c>
    </row>
    <row r="136" spans="1:24" s="3" customFormat="1" ht="12.75" customHeight="1" x14ac:dyDescent="0.25">
      <c r="A136" s="36" t="s">
        <v>35</v>
      </c>
      <c r="B136" s="37"/>
      <c r="C136" s="37"/>
      <c r="D136" s="37"/>
      <c r="E136" s="38"/>
      <c r="F136" s="28">
        <f>AVERAGE(F127:F135)</f>
        <v>6140.781018518519</v>
      </c>
      <c r="G136" s="26" t="s">
        <v>9</v>
      </c>
      <c r="H136" s="26" t="s">
        <v>9</v>
      </c>
      <c r="I136" s="26" t="s">
        <v>9</v>
      </c>
      <c r="J136" s="28">
        <f>AVERAGE(J127:J135)</f>
        <v>2999.6630555555557</v>
      </c>
      <c r="K136" s="28">
        <f t="shared" ref="K136:O136" si="57">AVERAGE(K127:K135)</f>
        <v>3279.7903703703705</v>
      </c>
      <c r="L136" s="28">
        <f t="shared" si="57"/>
        <v>2936.0608333333334</v>
      </c>
      <c r="M136" s="28">
        <f t="shared" si="57"/>
        <v>3140.8837037037042</v>
      </c>
      <c r="N136" s="28">
        <f t="shared" si="57"/>
        <v>3183.0891666666662</v>
      </c>
      <c r="O136" s="28">
        <f t="shared" si="57"/>
        <v>3570.7918055555551</v>
      </c>
      <c r="P136" s="26" t="s">
        <v>9</v>
      </c>
      <c r="Q136" s="26" t="s">
        <v>9</v>
      </c>
      <c r="R136" s="27" t="s">
        <v>9</v>
      </c>
      <c r="S136" s="26" t="s">
        <v>9</v>
      </c>
      <c r="T136" s="18"/>
      <c r="U136" s="11"/>
      <c r="V136" s="11"/>
      <c r="W136" s="9"/>
      <c r="X136" s="10"/>
    </row>
    <row r="137" spans="1:24" s="3" customFormat="1" ht="15" customHeight="1" x14ac:dyDescent="0.25">
      <c r="A137" s="43" t="s">
        <v>22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18" t="e">
        <f>#REF!/#REF!/6</f>
        <v>#REF!</v>
      </c>
      <c r="U137" s="11" t="e">
        <f>100-#REF!</f>
        <v>#REF!</v>
      </c>
      <c r="V137" s="11" t="e">
        <f t="shared" si="3"/>
        <v>#REF!</v>
      </c>
      <c r="W137" s="9"/>
      <c r="X137" s="10" t="e">
        <f>#REF!+U137</f>
        <v>#REF!</v>
      </c>
    </row>
    <row r="138" spans="1:24" s="3" customFormat="1" ht="15.75" customHeight="1" x14ac:dyDescent="0.25">
      <c r="A138" s="41">
        <v>1</v>
      </c>
      <c r="B138" s="41">
        <v>295</v>
      </c>
      <c r="C138" s="41" t="s">
        <v>6</v>
      </c>
      <c r="D138" s="41" t="s">
        <v>76</v>
      </c>
      <c r="E138" s="5">
        <v>2013</v>
      </c>
      <c r="F138" s="16">
        <f>44559.58/12</f>
        <v>3713.2983333333336</v>
      </c>
      <c r="G138" s="16">
        <f>29455.4/12</f>
        <v>2454.6166666666668</v>
      </c>
      <c r="H138" s="17" t="s">
        <v>9</v>
      </c>
      <c r="I138" s="16">
        <f>9528.64/12</f>
        <v>794.05333333333328</v>
      </c>
      <c r="J138" s="16">
        <f>22792.55/12</f>
        <v>1899.3791666666666</v>
      </c>
      <c r="K138" s="16">
        <f>30915.1/12</f>
        <v>2576.2583333333332</v>
      </c>
      <c r="L138" s="16">
        <f>21772.1/12</f>
        <v>1814.3416666666665</v>
      </c>
      <c r="M138" s="16">
        <f>25981.84/12</f>
        <v>2165.1533333333332</v>
      </c>
      <c r="N138" s="16">
        <f>28032.93/12</f>
        <v>2336.0774999999999</v>
      </c>
      <c r="O138" s="16">
        <f>29065.39/12</f>
        <v>2422.1158333333333</v>
      </c>
      <c r="P138" s="21">
        <f t="shared" ref="P138:P146" si="58">AVERAGE(F138:O138)</f>
        <v>2241.699351851852</v>
      </c>
      <c r="Q138" s="22">
        <v>49</v>
      </c>
      <c r="R138" s="19">
        <v>68</v>
      </c>
      <c r="S138" s="16">
        <v>44.5</v>
      </c>
      <c r="T138" s="18"/>
      <c r="U138" s="11"/>
      <c r="V138" s="11"/>
      <c r="W138" s="9"/>
      <c r="X138" s="10"/>
    </row>
    <row r="139" spans="1:24" s="3" customFormat="1" ht="15.75" customHeight="1" x14ac:dyDescent="0.25">
      <c r="A139" s="41"/>
      <c r="B139" s="41"/>
      <c r="C139" s="41"/>
      <c r="D139" s="41"/>
      <c r="E139" s="5">
        <v>2014</v>
      </c>
      <c r="F139" s="16">
        <f>51136.62/12</f>
        <v>4261.3850000000002</v>
      </c>
      <c r="G139" s="16">
        <f>21141.81/12</f>
        <v>1761.8175000000001</v>
      </c>
      <c r="H139" s="17" t="s">
        <v>9</v>
      </c>
      <c r="I139" s="16">
        <f>11949.99/12</f>
        <v>995.83249999999998</v>
      </c>
      <c r="J139" s="16">
        <f>24224/12</f>
        <v>2018.6666666666667</v>
      </c>
      <c r="K139" s="16">
        <f>28188.56/12</f>
        <v>2349.0466666666666</v>
      </c>
      <c r="L139" s="16">
        <f>22893.45/12</f>
        <v>1907.7875000000001</v>
      </c>
      <c r="M139" s="16">
        <f>26868.23/12</f>
        <v>2239.0191666666665</v>
      </c>
      <c r="N139" s="16">
        <f>28506.9/12</f>
        <v>2375.5750000000003</v>
      </c>
      <c r="O139" s="16">
        <f>33816/12</f>
        <v>2818</v>
      </c>
      <c r="P139" s="21">
        <f t="shared" si="58"/>
        <v>2303.0144444444445</v>
      </c>
      <c r="Q139" s="22">
        <v>49</v>
      </c>
      <c r="R139" s="19">
        <v>68</v>
      </c>
      <c r="S139" s="16">
        <v>47.6</v>
      </c>
      <c r="T139" s="18" t="e">
        <f>#REF!/#REF!/6</f>
        <v>#REF!</v>
      </c>
      <c r="U139" s="11" t="e">
        <f>100-#REF!</f>
        <v>#REF!</v>
      </c>
      <c r="V139" s="11" t="e">
        <f t="shared" ref="V139" si="59">U139*6</f>
        <v>#REF!</v>
      </c>
      <c r="W139" s="9"/>
      <c r="X139" s="10" t="e">
        <f>#REF!+U139</f>
        <v>#REF!</v>
      </c>
    </row>
    <row r="140" spans="1:24" s="3" customFormat="1" ht="15.75" customHeight="1" x14ac:dyDescent="0.25">
      <c r="A140" s="41"/>
      <c r="B140" s="41"/>
      <c r="C140" s="41"/>
      <c r="D140" s="41"/>
      <c r="E140" s="5">
        <v>2015</v>
      </c>
      <c r="F140" s="16">
        <f>22164/6</f>
        <v>3694</v>
      </c>
      <c r="G140" s="16">
        <f>13445.8/6</f>
        <v>2240.9666666666667</v>
      </c>
      <c r="H140" s="17" t="s">
        <v>9</v>
      </c>
      <c r="I140" s="16">
        <f>3729.14/6</f>
        <v>621.52333333333331</v>
      </c>
      <c r="J140" s="16">
        <f>10670.1/6</f>
        <v>1778.3500000000001</v>
      </c>
      <c r="K140" s="16">
        <f>12721.3/6</f>
        <v>2120.2166666666667</v>
      </c>
      <c r="L140" s="16">
        <f>8380.7/6</f>
        <v>1396.7833333333335</v>
      </c>
      <c r="M140" s="16">
        <f>10191.5/6</f>
        <v>1698.5833333333333</v>
      </c>
      <c r="N140" s="16">
        <f>12917.6/6</f>
        <v>2152.9333333333334</v>
      </c>
      <c r="O140" s="16">
        <f>12694.6/6</f>
        <v>2115.7666666666669</v>
      </c>
      <c r="P140" s="21">
        <f t="shared" si="58"/>
        <v>1979.9025925925926</v>
      </c>
      <c r="Q140" s="22">
        <v>49</v>
      </c>
      <c r="R140" s="19">
        <v>68</v>
      </c>
      <c r="S140" s="16" t="s">
        <v>146</v>
      </c>
      <c r="T140" s="18"/>
      <c r="U140" s="11"/>
      <c r="V140" s="11"/>
      <c r="W140" s="9"/>
      <c r="X140" s="10"/>
    </row>
    <row r="141" spans="1:24" s="3" customFormat="1" ht="15.75" customHeight="1" x14ac:dyDescent="0.25">
      <c r="A141" s="41">
        <v>2</v>
      </c>
      <c r="B141" s="41">
        <v>296</v>
      </c>
      <c r="C141" s="41" t="s">
        <v>71</v>
      </c>
      <c r="D141" s="41" t="s">
        <v>72</v>
      </c>
      <c r="E141" s="5">
        <v>2013</v>
      </c>
      <c r="F141" s="16">
        <f>71066/12</f>
        <v>5922.166666666667</v>
      </c>
      <c r="G141" s="16">
        <f>52515.4/12</f>
        <v>4376.2833333333338</v>
      </c>
      <c r="H141" s="17" t="s">
        <v>9</v>
      </c>
      <c r="I141" s="16">
        <f>16242.28/12</f>
        <v>1353.5233333333333</v>
      </c>
      <c r="J141" s="16">
        <f>33627.47/12</f>
        <v>2802.2891666666669</v>
      </c>
      <c r="K141" s="16">
        <f>32360.08/12</f>
        <v>2696.6733333333336</v>
      </c>
      <c r="L141" s="16">
        <f>30434/12</f>
        <v>2536.1666666666665</v>
      </c>
      <c r="M141" s="16">
        <f>23118.63/12</f>
        <v>1926.5525</v>
      </c>
      <c r="N141" s="16">
        <f>27438.03/12</f>
        <v>2286.5025000000001</v>
      </c>
      <c r="O141" s="16">
        <f>34148/12</f>
        <v>2845.6666666666665</v>
      </c>
      <c r="P141" s="21">
        <f t="shared" si="58"/>
        <v>2971.7582407407408</v>
      </c>
      <c r="Q141" s="22">
        <v>45.52</v>
      </c>
      <c r="R141" s="19">
        <v>70</v>
      </c>
      <c r="S141" s="16">
        <v>63.49</v>
      </c>
      <c r="T141" s="18"/>
      <c r="U141" s="11"/>
      <c r="V141" s="11"/>
      <c r="W141" s="9"/>
      <c r="X141" s="10"/>
    </row>
    <row r="142" spans="1:24" s="3" customFormat="1" ht="15.75" customHeight="1" x14ac:dyDescent="0.25">
      <c r="A142" s="41"/>
      <c r="B142" s="41"/>
      <c r="C142" s="41"/>
      <c r="D142" s="41"/>
      <c r="E142" s="5">
        <v>2014</v>
      </c>
      <c r="F142" s="16">
        <f>72104/12</f>
        <v>6008.666666666667</v>
      </c>
      <c r="G142" s="16">
        <f>53555.1/12</f>
        <v>4462.9250000000002</v>
      </c>
      <c r="H142" s="17" t="s">
        <v>9</v>
      </c>
      <c r="I142" s="16">
        <f>16993.2/12</f>
        <v>1416.1000000000001</v>
      </c>
      <c r="J142" s="16">
        <f>34960/12</f>
        <v>2913.3333333333335</v>
      </c>
      <c r="K142" s="16">
        <f>33404.08/12</f>
        <v>2783.6733333333336</v>
      </c>
      <c r="L142" s="16">
        <f>31132/12</f>
        <v>2594.3333333333335</v>
      </c>
      <c r="M142" s="16">
        <f>33892.5/12</f>
        <v>2824.375</v>
      </c>
      <c r="N142" s="16">
        <f>28642.16/12</f>
        <v>2386.8466666666668</v>
      </c>
      <c r="O142" s="16">
        <f>34912/12</f>
        <v>2909.3333333333335</v>
      </c>
      <c r="P142" s="21">
        <f t="shared" si="58"/>
        <v>3144.3985185185184</v>
      </c>
      <c r="Q142" s="22">
        <v>47.58</v>
      </c>
      <c r="R142" s="19">
        <v>70</v>
      </c>
      <c r="S142" s="16">
        <v>63.3</v>
      </c>
      <c r="T142" s="18" t="e">
        <f>#REF!/S260/6</f>
        <v>#REF!</v>
      </c>
      <c r="U142" s="11" t="e">
        <f>100-#REF!</f>
        <v>#REF!</v>
      </c>
      <c r="V142" s="11" t="e">
        <f t="shared" ref="V142:V144" si="60">U142*6</f>
        <v>#REF!</v>
      </c>
      <c r="W142" s="9"/>
      <c r="X142" s="10" t="e">
        <f>#REF!+U142</f>
        <v>#REF!</v>
      </c>
    </row>
    <row r="143" spans="1:24" s="3" customFormat="1" ht="18" customHeight="1" x14ac:dyDescent="0.25">
      <c r="A143" s="41"/>
      <c r="B143" s="41"/>
      <c r="C143" s="41"/>
      <c r="D143" s="41"/>
      <c r="E143" s="5">
        <v>2015</v>
      </c>
      <c r="F143" s="16">
        <f>33956/6</f>
        <v>5659.333333333333</v>
      </c>
      <c r="G143" s="16">
        <f>25123/6</f>
        <v>4187.166666666667</v>
      </c>
      <c r="H143" s="17" t="s">
        <v>9</v>
      </c>
      <c r="I143" s="17" t="s">
        <v>9</v>
      </c>
      <c r="J143" s="16">
        <f>16150/6</f>
        <v>2691.6666666666665</v>
      </c>
      <c r="K143" s="16">
        <f>15408.16/6</f>
        <v>2568.0266666666666</v>
      </c>
      <c r="L143" s="16">
        <f>14448/6</f>
        <v>2408</v>
      </c>
      <c r="M143" s="16">
        <f>13126.86/6</f>
        <v>2187.81</v>
      </c>
      <c r="N143" s="16">
        <f>13339.2/6</f>
        <v>2223.2000000000003</v>
      </c>
      <c r="O143" s="16">
        <f>16168/6</f>
        <v>2694.6666666666665</v>
      </c>
      <c r="P143" s="21">
        <f t="shared" si="58"/>
        <v>3077.4837500000003</v>
      </c>
      <c r="Q143" s="22">
        <v>44.63</v>
      </c>
      <c r="R143" s="19">
        <v>70</v>
      </c>
      <c r="S143" s="16">
        <v>60.7</v>
      </c>
      <c r="T143" s="18" t="e">
        <f>#REF!/S261/6</f>
        <v>#REF!</v>
      </c>
      <c r="U143" s="11" t="e">
        <f>100-#REF!</f>
        <v>#REF!</v>
      </c>
      <c r="V143" s="11" t="e">
        <f t="shared" si="60"/>
        <v>#REF!</v>
      </c>
      <c r="W143" s="9"/>
      <c r="X143" s="10" t="e">
        <f>#REF!+U143</f>
        <v>#REF!</v>
      </c>
    </row>
    <row r="144" spans="1:24" s="3" customFormat="1" ht="12.75" customHeight="1" x14ac:dyDescent="0.25">
      <c r="A144" s="41">
        <v>3</v>
      </c>
      <c r="B144" s="41">
        <v>300</v>
      </c>
      <c r="C144" s="41" t="s">
        <v>73</v>
      </c>
      <c r="D144" s="41" t="s">
        <v>74</v>
      </c>
      <c r="E144" s="5">
        <v>2013</v>
      </c>
      <c r="F144" s="16">
        <f>58151.83/12</f>
        <v>4845.9858333333332</v>
      </c>
      <c r="G144" s="16">
        <f>27373.41/12</f>
        <v>2281.1174999999998</v>
      </c>
      <c r="H144" s="17" t="s">
        <v>9</v>
      </c>
      <c r="I144" s="17" t="s">
        <v>9</v>
      </c>
      <c r="J144" s="16">
        <f>30288/12</f>
        <v>2524</v>
      </c>
      <c r="K144" s="16">
        <f>27555.5/12</f>
        <v>2296.2916666666665</v>
      </c>
      <c r="L144" s="16">
        <f>24304.73/12</f>
        <v>2025.3941666666667</v>
      </c>
      <c r="M144" s="16">
        <f>30607.24/12</f>
        <v>2550.6033333333335</v>
      </c>
      <c r="N144" s="16">
        <f>25394.94/12</f>
        <v>2116.2449999999999</v>
      </c>
      <c r="O144" s="16">
        <f>29670.26/12</f>
        <v>2472.5216666666665</v>
      </c>
      <c r="P144" s="21">
        <f t="shared" si="58"/>
        <v>2639.0198958333331</v>
      </c>
      <c r="Q144" s="22">
        <f>395.92/12</f>
        <v>32.993333333333332</v>
      </c>
      <c r="R144" s="19">
        <v>30</v>
      </c>
      <c r="S144" s="16">
        <v>68.13</v>
      </c>
      <c r="T144" s="18" t="e">
        <f>#REF!/S262/6</f>
        <v>#REF!</v>
      </c>
      <c r="U144" s="11" t="e">
        <f>100-#REF!</f>
        <v>#REF!</v>
      </c>
      <c r="V144" s="11" t="e">
        <f t="shared" si="60"/>
        <v>#REF!</v>
      </c>
      <c r="W144" s="9"/>
      <c r="X144" s="10" t="e">
        <f>#REF!+U144</f>
        <v>#REF!</v>
      </c>
    </row>
    <row r="145" spans="1:24" s="3" customFormat="1" ht="12.75" customHeight="1" x14ac:dyDescent="0.25">
      <c r="A145" s="41"/>
      <c r="B145" s="41"/>
      <c r="C145" s="41"/>
      <c r="D145" s="41"/>
      <c r="E145" s="5">
        <v>2014</v>
      </c>
      <c r="F145" s="16">
        <f>60884.94/12</f>
        <v>5073.7449999999999</v>
      </c>
      <c r="G145" s="16">
        <f>32309.18/12</f>
        <v>2692.4316666666668</v>
      </c>
      <c r="H145" s="17" t="s">
        <v>9</v>
      </c>
      <c r="I145" s="17" t="s">
        <v>9</v>
      </c>
      <c r="J145" s="16">
        <f>30125.56/12</f>
        <v>2510.4633333333336</v>
      </c>
      <c r="K145" s="16">
        <f>30845.49/12</f>
        <v>2570.4575</v>
      </c>
      <c r="L145" s="16">
        <f>29173.77/12</f>
        <v>2431.1475</v>
      </c>
      <c r="M145" s="16">
        <f>35596.28/12</f>
        <v>2966.3566666666666</v>
      </c>
      <c r="N145" s="16">
        <f>27893.03/12</f>
        <v>2324.4191666666666</v>
      </c>
      <c r="O145" s="16">
        <f>29919.26/12</f>
        <v>2493.2716666666665</v>
      </c>
      <c r="P145" s="21">
        <f t="shared" si="58"/>
        <v>2882.7865624999999</v>
      </c>
      <c r="Q145" s="22">
        <f>394.84/12</f>
        <v>32.903333333333329</v>
      </c>
      <c r="R145" s="19">
        <v>30</v>
      </c>
      <c r="S145" s="16">
        <v>69.13</v>
      </c>
      <c r="T145" s="18"/>
      <c r="U145" s="11"/>
      <c r="V145" s="11"/>
      <c r="W145" s="9"/>
      <c r="X145" s="10"/>
    </row>
    <row r="146" spans="1:24" s="3" customFormat="1" ht="12.75" customHeight="1" x14ac:dyDescent="0.25">
      <c r="A146" s="41"/>
      <c r="B146" s="41"/>
      <c r="C146" s="41"/>
      <c r="D146" s="41"/>
      <c r="E146" s="5">
        <v>2015</v>
      </c>
      <c r="F146" s="16">
        <f>30595.59/6</f>
        <v>5099.2650000000003</v>
      </c>
      <c r="G146" s="16">
        <f>16725.93/6</f>
        <v>2787.6550000000002</v>
      </c>
      <c r="H146" s="17" t="s">
        <v>9</v>
      </c>
      <c r="I146" s="17" t="s">
        <v>9</v>
      </c>
      <c r="J146" s="16">
        <f>15329.82/6</f>
        <v>2554.9699999999998</v>
      </c>
      <c r="K146" s="16">
        <f>15554.1/6</f>
        <v>2592.35</v>
      </c>
      <c r="L146" s="16">
        <f>13344.03/6</f>
        <v>2224.0050000000001</v>
      </c>
      <c r="M146" s="16">
        <f>16073.53/6</f>
        <v>2678.9216666666666</v>
      </c>
      <c r="N146" s="16">
        <f>14850.09/6</f>
        <v>2475.0149999999999</v>
      </c>
      <c r="O146" s="16">
        <f>15770.06/6</f>
        <v>2628.3433333333332</v>
      </c>
      <c r="P146" s="21">
        <f t="shared" si="58"/>
        <v>2880.0656249999997</v>
      </c>
      <c r="Q146" s="22">
        <f>200/6</f>
        <v>33.333333333333336</v>
      </c>
      <c r="R146" s="19">
        <v>30</v>
      </c>
      <c r="S146" s="16">
        <v>66.84</v>
      </c>
      <c r="T146" s="18" t="e">
        <f>#REF!/S264/6</f>
        <v>#REF!</v>
      </c>
      <c r="U146" s="11" t="e">
        <f>100-#REF!</f>
        <v>#REF!</v>
      </c>
      <c r="V146" s="11" t="e">
        <f t="shared" ref="V146" si="61">U146*6</f>
        <v>#REF!</v>
      </c>
      <c r="W146" s="9"/>
      <c r="X146" s="10" t="e">
        <f>#REF!+U146</f>
        <v>#REF!</v>
      </c>
    </row>
    <row r="147" spans="1:24" s="3" customFormat="1" ht="12.75" customHeight="1" x14ac:dyDescent="0.25">
      <c r="A147" s="36" t="s">
        <v>35</v>
      </c>
      <c r="B147" s="37"/>
      <c r="C147" s="37"/>
      <c r="D147" s="37"/>
      <c r="E147" s="38"/>
      <c r="F147" s="25">
        <f>AVERAGE(F138:F146)</f>
        <v>4919.7606481481489</v>
      </c>
      <c r="G147" s="26" t="s">
        <v>9</v>
      </c>
      <c r="H147" s="26" t="s">
        <v>9</v>
      </c>
      <c r="I147" s="26" t="s">
        <v>9</v>
      </c>
      <c r="J147" s="25">
        <f>AVERAGE(J138:J146)</f>
        <v>2410.3464814814815</v>
      </c>
      <c r="K147" s="25">
        <f t="shared" ref="K147:O147" si="62">AVERAGE(K138:K146)</f>
        <v>2505.8882407407409</v>
      </c>
      <c r="L147" s="25">
        <f t="shared" si="62"/>
        <v>2148.6621296296298</v>
      </c>
      <c r="M147" s="25">
        <f t="shared" si="62"/>
        <v>2359.708333333333</v>
      </c>
      <c r="N147" s="25">
        <f t="shared" si="62"/>
        <v>2297.4237962962961</v>
      </c>
      <c r="O147" s="25">
        <f t="shared" si="62"/>
        <v>2599.9650925925926</v>
      </c>
      <c r="P147" s="26" t="s">
        <v>9</v>
      </c>
      <c r="Q147" s="26" t="s">
        <v>9</v>
      </c>
      <c r="R147" s="27" t="s">
        <v>9</v>
      </c>
      <c r="S147" s="26" t="s">
        <v>9</v>
      </c>
      <c r="T147" s="18"/>
      <c r="U147" s="11"/>
      <c r="V147" s="11"/>
      <c r="W147" s="9"/>
      <c r="X147" s="10"/>
    </row>
    <row r="148" spans="1:24" s="3" customFormat="1" ht="12.75" customHeight="1" x14ac:dyDescent="0.25">
      <c r="A148" s="43" t="s">
        <v>23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18" t="e">
        <f>#REF!/#REF!/6</f>
        <v>#REF!</v>
      </c>
      <c r="U148" s="11" t="e">
        <f>100-#REF!</f>
        <v>#REF!</v>
      </c>
      <c r="V148" s="11" t="e">
        <f t="shared" si="3"/>
        <v>#REF!</v>
      </c>
      <c r="W148" s="9"/>
      <c r="X148" s="10" t="e">
        <f>#REF!+U148</f>
        <v>#REF!</v>
      </c>
    </row>
    <row r="149" spans="1:24" s="3" customFormat="1" ht="12.75" customHeight="1" x14ac:dyDescent="0.25">
      <c r="A149" s="41">
        <v>1</v>
      </c>
      <c r="B149" s="41">
        <v>312</v>
      </c>
      <c r="C149" s="41" t="s">
        <v>56</v>
      </c>
      <c r="D149" s="41" t="s">
        <v>57</v>
      </c>
      <c r="E149" s="5">
        <v>2013</v>
      </c>
      <c r="F149" s="16">
        <f>50047/12</f>
        <v>4170.583333333333</v>
      </c>
      <c r="G149" s="17" t="s">
        <v>9</v>
      </c>
      <c r="H149" s="17" t="s">
        <v>9</v>
      </c>
      <c r="I149" s="17" t="s">
        <v>9</v>
      </c>
      <c r="J149" s="16">
        <f>33358/12</f>
        <v>2779.8333333333335</v>
      </c>
      <c r="K149" s="16">
        <f>28774/12</f>
        <v>2397.8333333333335</v>
      </c>
      <c r="L149" s="16">
        <f>31951/12</f>
        <v>2662.5833333333335</v>
      </c>
      <c r="M149" s="16">
        <f>24887/12</f>
        <v>2073.9166666666665</v>
      </c>
      <c r="N149" s="16">
        <f>28053/12</f>
        <v>2337.75</v>
      </c>
      <c r="O149" s="16">
        <f>28550/12</f>
        <v>2379.1666666666665</v>
      </c>
      <c r="P149" s="21">
        <f t="shared" ref="P149:P157" si="63">AVERAGE(F149:O149)</f>
        <v>2685.9523809523812</v>
      </c>
      <c r="Q149" s="22">
        <v>80</v>
      </c>
      <c r="R149" s="19">
        <v>35</v>
      </c>
      <c r="S149" s="16">
        <v>74.73</v>
      </c>
      <c r="T149" s="18"/>
      <c r="U149" s="11"/>
      <c r="V149" s="11"/>
      <c r="W149" s="9"/>
      <c r="X149" s="10"/>
    </row>
    <row r="150" spans="1:24" s="3" customFormat="1" ht="12.75" customHeight="1" x14ac:dyDescent="0.25">
      <c r="A150" s="41"/>
      <c r="B150" s="41"/>
      <c r="C150" s="41"/>
      <c r="D150" s="41"/>
      <c r="E150" s="5">
        <v>2014</v>
      </c>
      <c r="F150" s="16">
        <f>54010/12</f>
        <v>4500.833333333333</v>
      </c>
      <c r="G150" s="17" t="s">
        <v>9</v>
      </c>
      <c r="H150" s="17" t="s">
        <v>9</v>
      </c>
      <c r="I150" s="17" t="s">
        <v>9</v>
      </c>
      <c r="J150" s="16">
        <f>36946/12</f>
        <v>3078.8333333333335</v>
      </c>
      <c r="K150" s="16">
        <f>29427/12</f>
        <v>2452.25</v>
      </c>
      <c r="L150" s="16">
        <f>35657/12</f>
        <v>2971.4166666666665</v>
      </c>
      <c r="M150" s="16">
        <f>36971/12</f>
        <v>3080.9166666666665</v>
      </c>
      <c r="N150" s="16">
        <f>32502/12</f>
        <v>2708.5</v>
      </c>
      <c r="O150" s="16">
        <f>27520/12</f>
        <v>2293.3333333333335</v>
      </c>
      <c r="P150" s="21">
        <f t="shared" si="63"/>
        <v>3012.2976190476188</v>
      </c>
      <c r="Q150" s="22">
        <v>80</v>
      </c>
      <c r="R150" s="19">
        <v>35</v>
      </c>
      <c r="S150" s="16">
        <v>74.73</v>
      </c>
      <c r="T150" s="18" t="e">
        <f>#REF!/#REF!/6</f>
        <v>#REF!</v>
      </c>
      <c r="U150" s="11" t="e">
        <f>100-#REF!</f>
        <v>#REF!</v>
      </c>
      <c r="V150" s="11" t="e">
        <f t="shared" ref="V150" si="64">U150*6</f>
        <v>#REF!</v>
      </c>
      <c r="W150" s="9"/>
      <c r="X150" s="10" t="e">
        <f>#REF!+U150</f>
        <v>#REF!</v>
      </c>
    </row>
    <row r="151" spans="1:24" s="3" customFormat="1" ht="12.75" customHeight="1" x14ac:dyDescent="0.25">
      <c r="A151" s="41"/>
      <c r="B151" s="41"/>
      <c r="C151" s="41"/>
      <c r="D151" s="41"/>
      <c r="E151" s="5">
        <v>2015</v>
      </c>
      <c r="F151" s="16">
        <f>26808/6</f>
        <v>4468</v>
      </c>
      <c r="G151" s="17" t="s">
        <v>9</v>
      </c>
      <c r="H151" s="17" t="s">
        <v>9</v>
      </c>
      <c r="I151" s="17" t="s">
        <v>9</v>
      </c>
      <c r="J151" s="16">
        <f>18742/6</f>
        <v>3123.6666666666665</v>
      </c>
      <c r="K151" s="16">
        <f>15658/6</f>
        <v>2609.6666666666665</v>
      </c>
      <c r="L151" s="16">
        <f>17693/6</f>
        <v>2948.8333333333335</v>
      </c>
      <c r="M151" s="16">
        <f>19216/6</f>
        <v>3202.6666666666665</v>
      </c>
      <c r="N151" s="16">
        <f>16607/6</f>
        <v>2767.8333333333335</v>
      </c>
      <c r="O151" s="16">
        <f>11430/6</f>
        <v>1905</v>
      </c>
      <c r="P151" s="21">
        <f t="shared" si="63"/>
        <v>3003.6666666666665</v>
      </c>
      <c r="Q151" s="22">
        <v>20</v>
      </c>
      <c r="R151" s="19">
        <v>40</v>
      </c>
      <c r="S151" s="16">
        <v>70.03</v>
      </c>
      <c r="T151" s="18"/>
      <c r="U151" s="11"/>
      <c r="V151" s="11"/>
      <c r="W151" s="9"/>
      <c r="X151" s="10"/>
    </row>
    <row r="152" spans="1:24" s="3" customFormat="1" ht="12.75" customHeight="1" x14ac:dyDescent="0.25">
      <c r="A152" s="41">
        <v>2</v>
      </c>
      <c r="B152" s="41">
        <v>315</v>
      </c>
      <c r="C152" s="41" t="s">
        <v>58</v>
      </c>
      <c r="D152" s="41" t="s">
        <v>84</v>
      </c>
      <c r="E152" s="5">
        <v>2013</v>
      </c>
      <c r="F152" s="16">
        <f>53710/12</f>
        <v>4475.833333333333</v>
      </c>
      <c r="G152" s="16">
        <f>14578.36/12</f>
        <v>1214.8633333333335</v>
      </c>
      <c r="H152" s="17" t="s">
        <v>9</v>
      </c>
      <c r="I152" s="17" t="s">
        <v>9</v>
      </c>
      <c r="J152" s="16">
        <f>23458.12/12</f>
        <v>1954.8433333333332</v>
      </c>
      <c r="K152" s="16">
        <f>28629.05/12</f>
        <v>2385.7541666666666</v>
      </c>
      <c r="L152" s="16">
        <f>29924.53/12</f>
        <v>2493.7108333333331</v>
      </c>
      <c r="M152" s="16">
        <f>28217.22/12</f>
        <v>2351.4349999999999</v>
      </c>
      <c r="N152" s="16">
        <f>21856/12</f>
        <v>1821.3333333333333</v>
      </c>
      <c r="O152" s="16">
        <f>26240/12</f>
        <v>2186.6666666666665</v>
      </c>
      <c r="P152" s="21">
        <f t="shared" si="63"/>
        <v>2360.5549999999998</v>
      </c>
      <c r="Q152" s="22">
        <v>115.67</v>
      </c>
      <c r="R152" s="19">
        <v>55</v>
      </c>
      <c r="S152" s="16">
        <v>57.34</v>
      </c>
      <c r="T152" s="18"/>
      <c r="U152" s="11"/>
      <c r="V152" s="11"/>
      <c r="W152" s="9"/>
      <c r="X152" s="10"/>
    </row>
    <row r="153" spans="1:24" s="3" customFormat="1" ht="12.75" customHeight="1" x14ac:dyDescent="0.25">
      <c r="A153" s="41"/>
      <c r="B153" s="41"/>
      <c r="C153" s="41"/>
      <c r="D153" s="41"/>
      <c r="E153" s="5">
        <v>2014</v>
      </c>
      <c r="F153" s="16">
        <f>56873/12</f>
        <v>4739.416666666667</v>
      </c>
      <c r="G153" s="16">
        <f>16080/12</f>
        <v>1340</v>
      </c>
      <c r="H153" s="17" t="s">
        <v>9</v>
      </c>
      <c r="I153" s="17" t="s">
        <v>9</v>
      </c>
      <c r="J153" s="16">
        <f>26561.83/12</f>
        <v>2213.4858333333336</v>
      </c>
      <c r="K153" s="16">
        <f>28722.08/12</f>
        <v>2393.5066666666667</v>
      </c>
      <c r="L153" s="16">
        <f>30360/12</f>
        <v>2530</v>
      </c>
      <c r="M153" s="16">
        <f>25707.5/12</f>
        <v>2142.2916666666665</v>
      </c>
      <c r="N153" s="16">
        <f>30216.67/12</f>
        <v>2518.0558333333333</v>
      </c>
      <c r="O153" s="16">
        <f>26115.87/12</f>
        <v>2176.3224999999998</v>
      </c>
      <c r="P153" s="21">
        <f t="shared" si="63"/>
        <v>2506.6348958333328</v>
      </c>
      <c r="Q153" s="22">
        <v>106.18</v>
      </c>
      <c r="R153" s="19">
        <v>55</v>
      </c>
      <c r="S153" s="16">
        <v>59.48</v>
      </c>
      <c r="T153" s="18" t="e">
        <f>#REF!/S273/6</f>
        <v>#REF!</v>
      </c>
      <c r="U153" s="11" t="e">
        <f>100-#REF!</f>
        <v>#REF!</v>
      </c>
      <c r="V153" s="11" t="e">
        <f t="shared" ref="V153:V155" si="65">U153*6</f>
        <v>#REF!</v>
      </c>
      <c r="W153" s="9"/>
      <c r="X153" s="10" t="e">
        <f>#REF!+U153</f>
        <v>#REF!</v>
      </c>
    </row>
    <row r="154" spans="1:24" s="3" customFormat="1" ht="11.25" x14ac:dyDescent="0.25">
      <c r="A154" s="41"/>
      <c r="B154" s="41"/>
      <c r="C154" s="41"/>
      <c r="D154" s="41"/>
      <c r="E154" s="5">
        <v>2015</v>
      </c>
      <c r="F154" s="16">
        <f>27846/6</f>
        <v>4641</v>
      </c>
      <c r="G154" s="16">
        <f>8160/6</f>
        <v>1360</v>
      </c>
      <c r="H154" s="17" t="s">
        <v>9</v>
      </c>
      <c r="I154" s="17" t="s">
        <v>9</v>
      </c>
      <c r="J154" s="16">
        <f>12866.67/6</f>
        <v>2144.4450000000002</v>
      </c>
      <c r="K154" s="16">
        <f>14158.82/6</f>
        <v>2359.8033333333333</v>
      </c>
      <c r="L154" s="16">
        <f>15180/6</f>
        <v>2530</v>
      </c>
      <c r="M154" s="16">
        <f>13860/6</f>
        <v>2310</v>
      </c>
      <c r="N154" s="16">
        <f>14950/6</f>
        <v>2491.6666666666665</v>
      </c>
      <c r="O154" s="16">
        <f>13200/6</f>
        <v>2200</v>
      </c>
      <c r="P154" s="21">
        <f t="shared" si="63"/>
        <v>2504.6143750000001</v>
      </c>
      <c r="Q154" s="22">
        <v>97.34</v>
      </c>
      <c r="R154" s="19">
        <v>55</v>
      </c>
      <c r="S154" s="16">
        <v>59.87</v>
      </c>
      <c r="T154" s="18" t="e">
        <f>#REF!/S274/6</f>
        <v>#REF!</v>
      </c>
      <c r="U154" s="11" t="e">
        <f>100-#REF!</f>
        <v>#REF!</v>
      </c>
      <c r="V154" s="11" t="e">
        <f t="shared" si="65"/>
        <v>#REF!</v>
      </c>
      <c r="W154" s="9"/>
      <c r="X154" s="10" t="e">
        <f>#REF!+U154</f>
        <v>#REF!</v>
      </c>
    </row>
    <row r="155" spans="1:24" s="3" customFormat="1" ht="12.75" customHeight="1" x14ac:dyDescent="0.25">
      <c r="A155" s="41">
        <v>3</v>
      </c>
      <c r="B155" s="41">
        <v>321</v>
      </c>
      <c r="C155" s="41" t="s">
        <v>59</v>
      </c>
      <c r="D155" s="41" t="s">
        <v>60</v>
      </c>
      <c r="E155" s="5">
        <v>2013</v>
      </c>
      <c r="F155" s="16">
        <f>72499.94/12</f>
        <v>6041.6616666666669</v>
      </c>
      <c r="G155" s="16">
        <f>35392.2/12</f>
        <v>2949.35</v>
      </c>
      <c r="H155" s="17" t="s">
        <v>9</v>
      </c>
      <c r="I155" s="16">
        <f>33250.23/12</f>
        <v>2770.8525000000004</v>
      </c>
      <c r="J155" s="16">
        <f>42963.3/12</f>
        <v>3580.2750000000001</v>
      </c>
      <c r="K155" s="16">
        <f>46408/12</f>
        <v>3867.3333333333335</v>
      </c>
      <c r="L155" s="16">
        <f>36223.02/12</f>
        <v>3018.5849999999996</v>
      </c>
      <c r="M155" s="16">
        <f>31568.83/12</f>
        <v>2630.7358333333336</v>
      </c>
      <c r="N155" s="16">
        <f>33193.15/12</f>
        <v>2766.0958333333333</v>
      </c>
      <c r="O155" s="16">
        <f>37355.54/12</f>
        <v>3112.9616666666666</v>
      </c>
      <c r="P155" s="21">
        <f t="shared" si="63"/>
        <v>3415.316759259259</v>
      </c>
      <c r="Q155" s="22">
        <f>683.52/12</f>
        <v>56.96</v>
      </c>
      <c r="R155" s="19">
        <v>50</v>
      </c>
      <c r="S155" s="16">
        <v>72.67</v>
      </c>
      <c r="T155" s="18" t="e">
        <f>#REF!/S275/6</f>
        <v>#REF!</v>
      </c>
      <c r="U155" s="11" t="e">
        <f>100-#REF!</f>
        <v>#REF!</v>
      </c>
      <c r="V155" s="11" t="e">
        <f t="shared" si="65"/>
        <v>#REF!</v>
      </c>
      <c r="W155" s="9"/>
      <c r="X155" s="10" t="e">
        <f>#REF!+U155</f>
        <v>#REF!</v>
      </c>
    </row>
    <row r="156" spans="1:24" s="3" customFormat="1" ht="12.75" customHeight="1" x14ac:dyDescent="0.25">
      <c r="A156" s="41"/>
      <c r="B156" s="41"/>
      <c r="C156" s="41"/>
      <c r="D156" s="41"/>
      <c r="E156" s="5">
        <v>2014</v>
      </c>
      <c r="F156" s="16">
        <f>75665.82/12</f>
        <v>6305.4850000000006</v>
      </c>
      <c r="G156" s="16">
        <f>37672.59/12</f>
        <v>3139.3824999999997</v>
      </c>
      <c r="H156" s="17" t="s">
        <v>9</v>
      </c>
      <c r="I156" s="16">
        <f>33769.79/12</f>
        <v>2814.1491666666666</v>
      </c>
      <c r="J156" s="16">
        <f>42606.94/12</f>
        <v>3550.5783333333334</v>
      </c>
      <c r="K156" s="16">
        <f>41339.84/12</f>
        <v>3444.9866666666662</v>
      </c>
      <c r="L156" s="16">
        <f>37983.17/12</f>
        <v>3165.2641666666664</v>
      </c>
      <c r="M156" s="16">
        <f>35221.22/12</f>
        <v>2935.1016666666669</v>
      </c>
      <c r="N156" s="16">
        <f>33913.72/12</f>
        <v>2826.1433333333334</v>
      </c>
      <c r="O156" s="16">
        <f>38187.37/12</f>
        <v>3182.2808333333337</v>
      </c>
      <c r="P156" s="21">
        <f t="shared" si="63"/>
        <v>3484.8190740740738</v>
      </c>
      <c r="Q156" s="22">
        <f>683.58/12</f>
        <v>56.965000000000003</v>
      </c>
      <c r="R156" s="19">
        <v>50</v>
      </c>
      <c r="S156" s="16">
        <v>72.44</v>
      </c>
      <c r="T156" s="18"/>
      <c r="U156" s="11"/>
      <c r="V156" s="11"/>
      <c r="W156" s="9"/>
      <c r="X156" s="10"/>
    </row>
    <row r="157" spans="1:24" s="3" customFormat="1" ht="12.75" customHeight="1" x14ac:dyDescent="0.25">
      <c r="A157" s="41"/>
      <c r="B157" s="41"/>
      <c r="C157" s="41"/>
      <c r="D157" s="41"/>
      <c r="E157" s="5">
        <v>2015</v>
      </c>
      <c r="F157" s="16">
        <f>36819.25/6</f>
        <v>6136.541666666667</v>
      </c>
      <c r="G157" s="16">
        <f>23261.09/6</f>
        <v>3876.8483333333334</v>
      </c>
      <c r="H157" s="17" t="s">
        <v>9</v>
      </c>
      <c r="I157" s="16">
        <f>16240.38/6</f>
        <v>2706.73</v>
      </c>
      <c r="J157" s="16">
        <f>22210.62/6</f>
        <v>3701.77</v>
      </c>
      <c r="K157" s="16">
        <f>20645.66/6</f>
        <v>3440.9433333333332</v>
      </c>
      <c r="L157" s="16">
        <f>18672.78/6</f>
        <v>3112.1299999999997</v>
      </c>
      <c r="M157" s="16">
        <f>16587.88/6</f>
        <v>2764.646666666667</v>
      </c>
      <c r="N157" s="16">
        <f>21436.56/6</f>
        <v>3572.76</v>
      </c>
      <c r="O157" s="16">
        <f>19032.72/6</f>
        <v>3172.1200000000003</v>
      </c>
      <c r="P157" s="21">
        <f t="shared" si="63"/>
        <v>3609.387777777778</v>
      </c>
      <c r="Q157" s="22">
        <f>313.79/6</f>
        <v>52.298333333333339</v>
      </c>
      <c r="R157" s="19">
        <v>50</v>
      </c>
      <c r="S157" s="16">
        <v>75.540000000000006</v>
      </c>
      <c r="T157" s="18" t="e">
        <f>#REF!/S277/6</f>
        <v>#REF!</v>
      </c>
      <c r="U157" s="11" t="e">
        <f>100-#REF!</f>
        <v>#REF!</v>
      </c>
      <c r="V157" s="11" t="e">
        <f t="shared" ref="V157" si="66">U157*6</f>
        <v>#REF!</v>
      </c>
      <c r="W157" s="9"/>
      <c r="X157" s="10" t="e">
        <f>#REF!+U157</f>
        <v>#REF!</v>
      </c>
    </row>
    <row r="158" spans="1:24" s="3" customFormat="1" ht="12.75" customHeight="1" x14ac:dyDescent="0.25">
      <c r="A158" s="36" t="s">
        <v>35</v>
      </c>
      <c r="B158" s="37"/>
      <c r="C158" s="37"/>
      <c r="D158" s="37"/>
      <c r="E158" s="38"/>
      <c r="F158" s="25">
        <f>AVERAGE(F149:F157)</f>
        <v>5053.2616666666672</v>
      </c>
      <c r="G158" s="26" t="s">
        <v>9</v>
      </c>
      <c r="H158" s="26" t="s">
        <v>9</v>
      </c>
      <c r="I158" s="26" t="s">
        <v>9</v>
      </c>
      <c r="J158" s="25">
        <f>AVERAGE(J149:J157)</f>
        <v>2903.081203703704</v>
      </c>
      <c r="K158" s="25">
        <f t="shared" ref="K158:O158" si="67">AVERAGE(K149:K157)</f>
        <v>2816.8975</v>
      </c>
      <c r="L158" s="25">
        <f t="shared" si="67"/>
        <v>2825.8359259259259</v>
      </c>
      <c r="M158" s="25">
        <f t="shared" si="67"/>
        <v>2610.1900925925925</v>
      </c>
      <c r="N158" s="25">
        <f t="shared" si="67"/>
        <v>2645.5709259259261</v>
      </c>
      <c r="O158" s="25">
        <f t="shared" si="67"/>
        <v>2511.9835185185184</v>
      </c>
      <c r="P158" s="26" t="s">
        <v>9</v>
      </c>
      <c r="Q158" s="26" t="s">
        <v>9</v>
      </c>
      <c r="R158" s="27" t="s">
        <v>9</v>
      </c>
      <c r="S158" s="26" t="s">
        <v>9</v>
      </c>
      <c r="T158" s="12"/>
      <c r="U158" s="13"/>
      <c r="V158" s="13"/>
      <c r="W158" s="9"/>
      <c r="X158" s="10"/>
    </row>
    <row r="159" spans="1:24" s="3" customFormat="1" ht="12.75" customHeight="1" x14ac:dyDescent="0.25">
      <c r="A159" s="43" t="s">
        <v>24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12"/>
      <c r="U159" s="13"/>
      <c r="V159" s="13"/>
      <c r="W159" s="9"/>
      <c r="X159" s="10"/>
    </row>
    <row r="160" spans="1:24" s="3" customFormat="1" ht="12.75" customHeight="1" x14ac:dyDescent="0.25">
      <c r="A160" s="41">
        <v>1</v>
      </c>
      <c r="B160" s="41">
        <v>334</v>
      </c>
      <c r="C160" s="41" t="s">
        <v>43</v>
      </c>
      <c r="D160" s="41" t="s">
        <v>77</v>
      </c>
      <c r="E160" s="5">
        <v>2013</v>
      </c>
      <c r="F160" s="16">
        <f>75879.68/12</f>
        <v>6323.3066666666664</v>
      </c>
      <c r="G160" s="16">
        <f>31115.35/12</f>
        <v>2592.9458333333332</v>
      </c>
      <c r="H160" s="17" t="s">
        <v>9</v>
      </c>
      <c r="I160" s="17" t="s">
        <v>9</v>
      </c>
      <c r="J160" s="16">
        <f>36579.67/12</f>
        <v>3048.3058333333333</v>
      </c>
      <c r="K160" s="16">
        <f>28866.5/12</f>
        <v>2405.5416666666665</v>
      </c>
      <c r="L160" s="16">
        <f>25653.29/12</f>
        <v>2137.7741666666666</v>
      </c>
      <c r="M160" s="16">
        <f>23252.96/12</f>
        <v>1937.7466666666667</v>
      </c>
      <c r="N160" s="16">
        <f>27605.73/12</f>
        <v>2300.4775</v>
      </c>
      <c r="O160" s="16">
        <f>28866.5/12</f>
        <v>2405.5416666666665</v>
      </c>
      <c r="P160" s="21">
        <f t="shared" ref="P160:P179" si="68">AVERAGE(F160:O160)</f>
        <v>2893.9549999999999</v>
      </c>
      <c r="Q160" s="22">
        <v>43.12</v>
      </c>
      <c r="R160" s="19">
        <v>35</v>
      </c>
      <c r="S160" s="16">
        <v>60.31</v>
      </c>
      <c r="T160" s="18"/>
      <c r="U160" s="11"/>
      <c r="V160" s="11"/>
      <c r="W160" s="9"/>
      <c r="X160" s="10"/>
    </row>
    <row r="161" spans="1:24" s="3" customFormat="1" ht="12.75" customHeight="1" x14ac:dyDescent="0.25">
      <c r="A161" s="41"/>
      <c r="B161" s="41"/>
      <c r="C161" s="41"/>
      <c r="D161" s="41"/>
      <c r="E161" s="5">
        <v>2014</v>
      </c>
      <c r="F161" s="16">
        <f>82040.13/12</f>
        <v>6836.6775000000007</v>
      </c>
      <c r="G161" s="16">
        <f>29969/12</f>
        <v>2497.4166666666665</v>
      </c>
      <c r="H161" s="17" t="s">
        <v>9</v>
      </c>
      <c r="I161" s="17" t="s">
        <v>9</v>
      </c>
      <c r="J161" s="16">
        <f>35566.77/12</f>
        <v>2963.8974999999996</v>
      </c>
      <c r="K161" s="16">
        <f>27729.25/12</f>
        <v>2310.7708333333335</v>
      </c>
      <c r="L161" s="16">
        <f>26021.78/12</f>
        <v>2168.4816666666666</v>
      </c>
      <c r="M161" s="16">
        <f>25007.19/12</f>
        <v>2083.9324999999999</v>
      </c>
      <c r="N161" s="16">
        <f>21163.92/12</f>
        <v>1763.6599999999999</v>
      </c>
      <c r="O161" s="16">
        <f>32279.48/12</f>
        <v>2689.9566666666665</v>
      </c>
      <c r="P161" s="21">
        <f t="shared" si="68"/>
        <v>2914.3491666666664</v>
      </c>
      <c r="Q161" s="22">
        <v>44.43</v>
      </c>
      <c r="R161" s="19">
        <v>35</v>
      </c>
      <c r="S161" s="16">
        <v>61.08</v>
      </c>
      <c r="T161" s="18" t="e">
        <f>#REF!/#REF!/6</f>
        <v>#REF!</v>
      </c>
      <c r="U161" s="11" t="e">
        <f>100-#REF!</f>
        <v>#REF!</v>
      </c>
      <c r="V161" s="11" t="e">
        <f t="shared" ref="V161" si="69">U161*6</f>
        <v>#REF!</v>
      </c>
      <c r="W161" s="9"/>
      <c r="X161" s="10" t="e">
        <f>#REF!+U161</f>
        <v>#REF!</v>
      </c>
    </row>
    <row r="162" spans="1:24" s="3" customFormat="1" ht="12.75" customHeight="1" x14ac:dyDescent="0.25">
      <c r="A162" s="41"/>
      <c r="B162" s="41"/>
      <c r="C162" s="41"/>
      <c r="D162" s="41"/>
      <c r="E162" s="5">
        <v>2015</v>
      </c>
      <c r="F162" s="16">
        <f>38445.9/6</f>
        <v>6407.6500000000005</v>
      </c>
      <c r="G162" s="16">
        <f>15325.92/6</f>
        <v>2554.3200000000002</v>
      </c>
      <c r="H162" s="17" t="s">
        <v>9</v>
      </c>
      <c r="I162" s="17" t="s">
        <v>9</v>
      </c>
      <c r="J162" s="16">
        <f>18776.1/6</f>
        <v>3129.35</v>
      </c>
      <c r="K162" s="16">
        <f>14742/6</f>
        <v>2457</v>
      </c>
      <c r="L162" s="16">
        <f>14038.09/6</f>
        <v>2339.6816666666668</v>
      </c>
      <c r="M162" s="16">
        <f>13452.7/6</f>
        <v>2242.1166666666668</v>
      </c>
      <c r="N162" s="16">
        <f>13893.8/6</f>
        <v>2315.6333333333332</v>
      </c>
      <c r="O162" s="16">
        <f>14712/6</f>
        <v>2452</v>
      </c>
      <c r="P162" s="21">
        <f t="shared" si="68"/>
        <v>2987.2189583333329</v>
      </c>
      <c r="Q162" s="22">
        <v>37.979999999999997</v>
      </c>
      <c r="R162" s="19">
        <v>35</v>
      </c>
      <c r="S162" s="16">
        <v>66.989999999999995</v>
      </c>
      <c r="T162" s="18"/>
      <c r="U162" s="11"/>
      <c r="V162" s="11"/>
      <c r="W162" s="9"/>
      <c r="X162" s="10"/>
    </row>
    <row r="163" spans="1:24" s="3" customFormat="1" ht="12.75" customHeight="1" x14ac:dyDescent="0.25">
      <c r="A163" s="41">
        <v>2</v>
      </c>
      <c r="B163" s="41">
        <v>338</v>
      </c>
      <c r="C163" s="41" t="s">
        <v>44</v>
      </c>
      <c r="D163" s="41" t="s">
        <v>85</v>
      </c>
      <c r="E163" s="5">
        <v>2013</v>
      </c>
      <c r="F163" s="16">
        <f>40215.85/12</f>
        <v>3351.3208333333332</v>
      </c>
      <c r="G163" s="16">
        <f>19643.37/12</f>
        <v>1636.9475</v>
      </c>
      <c r="H163" s="17" t="s">
        <v>9</v>
      </c>
      <c r="I163" s="20">
        <f>16913.83/12</f>
        <v>1409.4858333333334</v>
      </c>
      <c r="J163" s="20">
        <f>26636.41/12</f>
        <v>2219.7008333333333</v>
      </c>
      <c r="K163" s="20">
        <f>27112.49/12</f>
        <v>2259.374166666667</v>
      </c>
      <c r="L163" s="20">
        <f>21762.09/12</f>
        <v>1813.5074999999999</v>
      </c>
      <c r="M163" s="20">
        <f>28561.69/12</f>
        <v>2380.1408333333334</v>
      </c>
      <c r="N163" s="20">
        <f>27614.73/12</f>
        <v>2301.2275</v>
      </c>
      <c r="O163" s="17" t="s">
        <v>9</v>
      </c>
      <c r="P163" s="21">
        <f t="shared" si="68"/>
        <v>2171.4631249999998</v>
      </c>
      <c r="Q163" s="22">
        <v>73.930000000000007</v>
      </c>
      <c r="R163" s="19">
        <v>25</v>
      </c>
      <c r="S163" s="16">
        <v>59.9</v>
      </c>
      <c r="T163" s="18"/>
      <c r="U163" s="11"/>
      <c r="V163" s="11"/>
      <c r="W163" s="9"/>
      <c r="X163" s="10"/>
    </row>
    <row r="164" spans="1:24" s="3" customFormat="1" ht="12.75" customHeight="1" x14ac:dyDescent="0.25">
      <c r="A164" s="41"/>
      <c r="B164" s="41"/>
      <c r="C164" s="41"/>
      <c r="D164" s="41"/>
      <c r="E164" s="5">
        <v>2014</v>
      </c>
      <c r="F164" s="16">
        <f>41615.41/12</f>
        <v>3467.9508333333338</v>
      </c>
      <c r="G164" s="16">
        <f>20358.95/12</f>
        <v>1696.5791666666667</v>
      </c>
      <c r="H164" s="17" t="s">
        <v>9</v>
      </c>
      <c r="I164" s="20">
        <f>16622.4/12</f>
        <v>1385.2</v>
      </c>
      <c r="J164" s="20">
        <f>26982.25/12</f>
        <v>2248.5208333333335</v>
      </c>
      <c r="K164" s="20">
        <f>28077.85/12</f>
        <v>2339.8208333333332</v>
      </c>
      <c r="L164" s="20">
        <f>27949.13/12</f>
        <v>2329.0941666666668</v>
      </c>
      <c r="M164" s="20">
        <f>29067.97/12</f>
        <v>2422.3308333333334</v>
      </c>
      <c r="N164" s="20">
        <f>28386.64/12</f>
        <v>2365.5533333333333</v>
      </c>
      <c r="O164" s="17" t="s">
        <v>9</v>
      </c>
      <c r="P164" s="21">
        <f t="shared" si="68"/>
        <v>2281.8812499999999</v>
      </c>
      <c r="Q164" s="22">
        <v>79.53</v>
      </c>
      <c r="R164" s="19">
        <v>25</v>
      </c>
      <c r="S164" s="16">
        <v>62</v>
      </c>
      <c r="T164" s="18" t="e">
        <f>#REF!/S286/6</f>
        <v>#REF!</v>
      </c>
      <c r="U164" s="11" t="e">
        <f>100-#REF!</f>
        <v>#REF!</v>
      </c>
      <c r="V164" s="11" t="e">
        <f t="shared" ref="V164:V166" si="70">U164*6</f>
        <v>#REF!</v>
      </c>
      <c r="W164" s="9"/>
      <c r="X164" s="10" t="e">
        <f>#REF!+U164</f>
        <v>#REF!</v>
      </c>
    </row>
    <row r="165" spans="1:24" s="3" customFormat="1" ht="11.25" x14ac:dyDescent="0.25">
      <c r="A165" s="41"/>
      <c r="B165" s="41"/>
      <c r="C165" s="41"/>
      <c r="D165" s="41"/>
      <c r="E165" s="5">
        <v>2015</v>
      </c>
      <c r="F165" s="16">
        <f>18599.58/6</f>
        <v>3099.9300000000003</v>
      </c>
      <c r="G165" s="16">
        <f>8361.45/6</f>
        <v>1393.575</v>
      </c>
      <c r="H165" s="17" t="s">
        <v>9</v>
      </c>
      <c r="I165" s="20">
        <f>7711.2/6</f>
        <v>1285.2</v>
      </c>
      <c r="J165" s="20">
        <f>13686.82/6</f>
        <v>2281.1366666666668</v>
      </c>
      <c r="K165" s="20">
        <f>12528.62/6</f>
        <v>2088.1033333333335</v>
      </c>
      <c r="L165" s="20">
        <f>12236.3/6</f>
        <v>2039.3833333333332</v>
      </c>
      <c r="M165" s="20">
        <f>7174.79/6</f>
        <v>1195.7983333333334</v>
      </c>
      <c r="N165" s="20">
        <f>13362.36/6</f>
        <v>2227.06</v>
      </c>
      <c r="O165" s="17" t="s">
        <v>9</v>
      </c>
      <c r="P165" s="21">
        <f t="shared" si="68"/>
        <v>1951.2733333333333</v>
      </c>
      <c r="Q165" s="22">
        <v>80.64</v>
      </c>
      <c r="R165" s="19">
        <v>25</v>
      </c>
      <c r="S165" s="16">
        <v>54.38</v>
      </c>
      <c r="T165" s="18" t="e">
        <f>#REF!/S287/6</f>
        <v>#REF!</v>
      </c>
      <c r="U165" s="11" t="e">
        <f>100-#REF!</f>
        <v>#REF!</v>
      </c>
      <c r="V165" s="11" t="e">
        <f t="shared" si="70"/>
        <v>#REF!</v>
      </c>
      <c r="W165" s="9"/>
      <c r="X165" s="10" t="e">
        <f>#REF!+U165</f>
        <v>#REF!</v>
      </c>
    </row>
    <row r="166" spans="1:24" s="3" customFormat="1" ht="15.75" customHeight="1" x14ac:dyDescent="0.25">
      <c r="A166" s="41">
        <v>3</v>
      </c>
      <c r="B166" s="41">
        <v>356</v>
      </c>
      <c r="C166" s="41" t="s">
        <v>45</v>
      </c>
      <c r="D166" s="41" t="s">
        <v>78</v>
      </c>
      <c r="E166" s="5">
        <v>2013</v>
      </c>
      <c r="F166" s="16">
        <f>71340.4/12</f>
        <v>5945.0333333333328</v>
      </c>
      <c r="G166" s="16">
        <f>55605.4/12</f>
        <v>4633.7833333333338</v>
      </c>
      <c r="H166" s="17" t="s">
        <v>9</v>
      </c>
      <c r="I166" s="16">
        <f>17137.82/12</f>
        <v>1428.1516666666666</v>
      </c>
      <c r="J166" s="16">
        <f>28331.41/12</f>
        <v>2360.9508333333333</v>
      </c>
      <c r="K166" s="16">
        <f>26356.9/12</f>
        <v>2196.4083333333333</v>
      </c>
      <c r="L166" s="16">
        <f>28907.14/12</f>
        <v>2408.9283333333333</v>
      </c>
      <c r="M166" s="16">
        <f>41208.57/12</f>
        <v>3434.0475000000001</v>
      </c>
      <c r="N166" s="16">
        <f>26903.18/12</f>
        <v>2241.9316666666668</v>
      </c>
      <c r="O166" s="16">
        <f>29090.8/12</f>
        <v>2424.2333333333331</v>
      </c>
      <c r="P166" s="21">
        <f t="shared" si="68"/>
        <v>3008.1631481481481</v>
      </c>
      <c r="Q166" s="22">
        <v>69.72</v>
      </c>
      <c r="R166" s="19">
        <v>45</v>
      </c>
      <c r="S166" s="16">
        <v>64.819999999999993</v>
      </c>
      <c r="T166" s="18" t="e">
        <f>#REF!/S288/6</f>
        <v>#REF!</v>
      </c>
      <c r="U166" s="11" t="e">
        <f>100-#REF!</f>
        <v>#REF!</v>
      </c>
      <c r="V166" s="11" t="e">
        <f t="shared" si="70"/>
        <v>#REF!</v>
      </c>
      <c r="W166" s="9"/>
      <c r="X166" s="10" t="e">
        <f>#REF!+U166</f>
        <v>#REF!</v>
      </c>
    </row>
    <row r="167" spans="1:24" s="3" customFormat="1" ht="15.75" customHeight="1" x14ac:dyDescent="0.25">
      <c r="A167" s="41"/>
      <c r="B167" s="41"/>
      <c r="C167" s="41"/>
      <c r="D167" s="41"/>
      <c r="E167" s="5">
        <v>2014</v>
      </c>
      <c r="F167" s="16">
        <f>73256.63/12</f>
        <v>6104.7191666666668</v>
      </c>
      <c r="G167" s="16">
        <f>58735.55/12</f>
        <v>4894.6291666666666</v>
      </c>
      <c r="H167" s="17" t="s">
        <v>9</v>
      </c>
      <c r="I167" s="16">
        <f>18656.1/12</f>
        <v>1554.675</v>
      </c>
      <c r="J167" s="16">
        <f>23954.91/12</f>
        <v>1996.2425000000001</v>
      </c>
      <c r="K167" s="16">
        <f>26114.06/12</f>
        <v>2176.1716666666666</v>
      </c>
      <c r="L167" s="16">
        <f>20268.39/12</f>
        <v>1689.0325</v>
      </c>
      <c r="M167" s="16">
        <f>39023.26/12</f>
        <v>3251.9383333333335</v>
      </c>
      <c r="N167" s="16">
        <f>27237.11/12</f>
        <v>2269.7591666666667</v>
      </c>
      <c r="O167" s="16">
        <f>28560/12</f>
        <v>2380</v>
      </c>
      <c r="P167" s="21">
        <f t="shared" si="68"/>
        <v>2924.129722222222</v>
      </c>
      <c r="Q167" s="22">
        <v>65.88</v>
      </c>
      <c r="R167" s="19">
        <v>45</v>
      </c>
      <c r="S167" s="16">
        <v>64.55</v>
      </c>
      <c r="T167" s="18"/>
      <c r="U167" s="11"/>
      <c r="V167" s="11"/>
      <c r="W167" s="9"/>
      <c r="X167" s="10"/>
    </row>
    <row r="168" spans="1:24" s="3" customFormat="1" ht="15.75" customHeight="1" x14ac:dyDescent="0.25">
      <c r="A168" s="41"/>
      <c r="B168" s="41"/>
      <c r="C168" s="41"/>
      <c r="D168" s="41"/>
      <c r="E168" s="5">
        <v>2015</v>
      </c>
      <c r="F168" s="16">
        <f>34545/6</f>
        <v>5757.5</v>
      </c>
      <c r="G168" s="16">
        <f>27080.86/12</f>
        <v>2256.7383333333332</v>
      </c>
      <c r="H168" s="17" t="s">
        <v>9</v>
      </c>
      <c r="I168" s="16">
        <f>8625/6</f>
        <v>1437.5</v>
      </c>
      <c r="J168" s="16">
        <f>12204.17/6</f>
        <v>2034.0283333333334</v>
      </c>
      <c r="K168" s="16">
        <f>13179/6</f>
        <v>2196.5</v>
      </c>
      <c r="L168" s="16">
        <f>11802.3/6</f>
        <v>1967.05</v>
      </c>
      <c r="M168" s="16">
        <f>19402/6</f>
        <v>3233.6666666666665</v>
      </c>
      <c r="N168" s="16">
        <f>13214.45/6</f>
        <v>2202.4083333333333</v>
      </c>
      <c r="O168" s="16">
        <f>13903.5/6</f>
        <v>2317.25</v>
      </c>
      <c r="P168" s="21">
        <f t="shared" si="68"/>
        <v>2600.2935185185183</v>
      </c>
      <c r="Q168" s="22">
        <v>53.73</v>
      </c>
      <c r="R168" s="19">
        <v>45</v>
      </c>
      <c r="S168" s="16">
        <v>65.2</v>
      </c>
      <c r="T168" s="18" t="e">
        <f>#REF!/S290/6</f>
        <v>#REF!</v>
      </c>
      <c r="U168" s="11" t="e">
        <f>100-#REF!</f>
        <v>#REF!</v>
      </c>
      <c r="V168" s="11" t="e">
        <f t="shared" ref="V168" si="71">U168*6</f>
        <v>#REF!</v>
      </c>
      <c r="W168" s="9"/>
      <c r="X168" s="10" t="e">
        <f>#REF!+U168</f>
        <v>#REF!</v>
      </c>
    </row>
    <row r="169" spans="1:24" s="3" customFormat="1" ht="15.75" customHeight="1" x14ac:dyDescent="0.25">
      <c r="A169" s="36" t="s">
        <v>35</v>
      </c>
      <c r="B169" s="37"/>
      <c r="C169" s="37"/>
      <c r="D169" s="37"/>
      <c r="E169" s="38"/>
      <c r="F169" s="25">
        <f>AVERAGE(F160:F168)</f>
        <v>5254.8987037037041</v>
      </c>
      <c r="G169" s="26" t="s">
        <v>9</v>
      </c>
      <c r="H169" s="26" t="s">
        <v>9</v>
      </c>
      <c r="I169" s="26" t="s">
        <v>9</v>
      </c>
      <c r="J169" s="25">
        <f>AVERAGE(J160:J168)</f>
        <v>2475.7925925925924</v>
      </c>
      <c r="K169" s="25">
        <f t="shared" ref="K169:O169" si="72">AVERAGE(K160:K168)</f>
        <v>2269.9656481481479</v>
      </c>
      <c r="L169" s="25">
        <f t="shared" si="72"/>
        <v>2099.2148148148144</v>
      </c>
      <c r="M169" s="25">
        <f t="shared" si="72"/>
        <v>2464.6353703703703</v>
      </c>
      <c r="N169" s="25">
        <f t="shared" si="72"/>
        <v>2220.856759259259</v>
      </c>
      <c r="O169" s="25">
        <f t="shared" si="72"/>
        <v>2444.8302777777776</v>
      </c>
      <c r="P169" s="26" t="s">
        <v>9</v>
      </c>
      <c r="Q169" s="26" t="s">
        <v>9</v>
      </c>
      <c r="R169" s="27" t="s">
        <v>9</v>
      </c>
      <c r="S169" s="26" t="s">
        <v>9</v>
      </c>
      <c r="T169" s="12"/>
      <c r="U169" s="13"/>
      <c r="V169" s="13"/>
      <c r="W169" s="9"/>
      <c r="X169" s="10"/>
    </row>
    <row r="170" spans="1:24" s="3" customFormat="1" ht="12.75" customHeight="1" x14ac:dyDescent="0.25">
      <c r="A170" s="43" t="s">
        <v>25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12"/>
      <c r="U170" s="13"/>
      <c r="V170" s="13"/>
      <c r="W170" s="9"/>
      <c r="X170" s="10"/>
    </row>
    <row r="171" spans="1:24" s="3" customFormat="1" ht="12.75" customHeight="1" x14ac:dyDescent="0.25">
      <c r="A171" s="41">
        <v>1</v>
      </c>
      <c r="B171" s="41">
        <v>367</v>
      </c>
      <c r="C171" s="41" t="s">
        <v>46</v>
      </c>
      <c r="D171" s="41" t="s">
        <v>86</v>
      </c>
      <c r="E171" s="5">
        <v>2013</v>
      </c>
      <c r="F171" s="16">
        <f>63730.1/12</f>
        <v>5310.8416666666662</v>
      </c>
      <c r="G171" s="17" t="s">
        <v>9</v>
      </c>
      <c r="H171" s="17" t="s">
        <v>9</v>
      </c>
      <c r="I171" s="16">
        <f>7598.29/12</f>
        <v>633.19083333333333</v>
      </c>
      <c r="J171" s="16">
        <f>35053.34/12</f>
        <v>2921.1116666666662</v>
      </c>
      <c r="K171" s="16">
        <f>29791.29/12</f>
        <v>2482.6075000000001</v>
      </c>
      <c r="L171" s="16">
        <f>34953.16/12</f>
        <v>2912.7633333333338</v>
      </c>
      <c r="M171" s="16">
        <f>34821.3/12</f>
        <v>2901.7750000000001</v>
      </c>
      <c r="N171" s="16">
        <f>35147.06/12</f>
        <v>2928.9216666666666</v>
      </c>
      <c r="O171" s="16">
        <f>33038.03/12</f>
        <v>2753.1691666666666</v>
      </c>
      <c r="P171" s="21">
        <f t="shared" si="68"/>
        <v>2855.5476041666666</v>
      </c>
      <c r="Q171" s="22">
        <v>70</v>
      </c>
      <c r="R171" s="19">
        <v>70</v>
      </c>
      <c r="S171" s="16">
        <v>56.93</v>
      </c>
      <c r="T171" s="18"/>
      <c r="U171" s="11"/>
      <c r="V171" s="11"/>
      <c r="W171" s="9"/>
      <c r="X171" s="10"/>
    </row>
    <row r="172" spans="1:24" s="3" customFormat="1" ht="12.75" customHeight="1" x14ac:dyDescent="0.25">
      <c r="A172" s="41"/>
      <c r="B172" s="41"/>
      <c r="C172" s="41"/>
      <c r="D172" s="41"/>
      <c r="E172" s="5">
        <v>2014</v>
      </c>
      <c r="F172" s="16">
        <f>66748.69/12</f>
        <v>5562.3908333333338</v>
      </c>
      <c r="G172" s="17" t="s">
        <v>9</v>
      </c>
      <c r="H172" s="17" t="s">
        <v>9</v>
      </c>
      <c r="I172" s="16">
        <f>7321.19/12</f>
        <v>610.09916666666663</v>
      </c>
      <c r="J172" s="16">
        <f>37334/12</f>
        <v>3111.1666666666665</v>
      </c>
      <c r="K172" s="16">
        <f>28211.75/12</f>
        <v>2350.9791666666665</v>
      </c>
      <c r="L172" s="16">
        <f>36033.9/12</f>
        <v>3002.8250000000003</v>
      </c>
      <c r="M172" s="16">
        <f>36400/12</f>
        <v>3033.3333333333335</v>
      </c>
      <c r="N172" s="16">
        <f>35207.54/12</f>
        <v>2933.9616666666666</v>
      </c>
      <c r="O172" s="16">
        <f>34529.53/12</f>
        <v>2877.4608333333331</v>
      </c>
      <c r="P172" s="21">
        <f t="shared" si="68"/>
        <v>2935.2770833333334</v>
      </c>
      <c r="Q172" s="22">
        <v>70</v>
      </c>
      <c r="R172" s="19">
        <v>70</v>
      </c>
      <c r="S172" s="16">
        <v>59.22</v>
      </c>
      <c r="T172" s="18" t="e">
        <f>#REF!/#REF!/6</f>
        <v>#REF!</v>
      </c>
      <c r="U172" s="11" t="e">
        <f>100-#REF!</f>
        <v>#REF!</v>
      </c>
      <c r="V172" s="11" t="e">
        <f t="shared" ref="V172" si="73">U172*6</f>
        <v>#REF!</v>
      </c>
      <c r="W172" s="9"/>
      <c r="X172" s="10" t="e">
        <f>#REF!+U172</f>
        <v>#REF!</v>
      </c>
    </row>
    <row r="173" spans="1:24" s="3" customFormat="1" ht="12.75" customHeight="1" x14ac:dyDescent="0.25">
      <c r="A173" s="41"/>
      <c r="B173" s="41"/>
      <c r="C173" s="41"/>
      <c r="D173" s="41"/>
      <c r="E173" s="5">
        <v>2015</v>
      </c>
      <c r="F173" s="16">
        <f>32548.08/6</f>
        <v>5424.68</v>
      </c>
      <c r="G173" s="17" t="s">
        <v>9</v>
      </c>
      <c r="H173" s="17" t="s">
        <v>9</v>
      </c>
      <c r="I173" s="16">
        <f>2875/6</f>
        <v>479.16666666666669</v>
      </c>
      <c r="J173" s="16">
        <f>18499.29/6</f>
        <v>3083.2150000000001</v>
      </c>
      <c r="K173" s="16">
        <f>5739.26/6</f>
        <v>956.54333333333341</v>
      </c>
      <c r="L173" s="16">
        <f>18790/6</f>
        <v>3131.6666666666665</v>
      </c>
      <c r="M173" s="16">
        <f>18590.3/6</f>
        <v>3098.3833333333332</v>
      </c>
      <c r="N173" s="16">
        <f>18442/6</f>
        <v>3073.6666666666665</v>
      </c>
      <c r="O173" s="16">
        <f>18100/6</f>
        <v>3016.6666666666665</v>
      </c>
      <c r="P173" s="21">
        <f t="shared" si="68"/>
        <v>2782.9985416666668</v>
      </c>
      <c r="Q173" s="22">
        <v>50</v>
      </c>
      <c r="R173" s="19">
        <v>70</v>
      </c>
      <c r="S173" s="16">
        <v>56.44</v>
      </c>
      <c r="T173" s="18"/>
      <c r="U173" s="11"/>
      <c r="V173" s="11"/>
      <c r="W173" s="9"/>
      <c r="X173" s="10"/>
    </row>
    <row r="174" spans="1:24" s="3" customFormat="1" ht="12.75" customHeight="1" x14ac:dyDescent="0.25">
      <c r="A174" s="41">
        <v>2</v>
      </c>
      <c r="B174" s="41">
        <v>376</v>
      </c>
      <c r="C174" s="41" t="s">
        <v>80</v>
      </c>
      <c r="D174" s="41" t="s">
        <v>81</v>
      </c>
      <c r="E174" s="5">
        <v>2013</v>
      </c>
      <c r="F174" s="16">
        <f>40095/12</f>
        <v>3341.25</v>
      </c>
      <c r="G174" s="17" t="s">
        <v>9</v>
      </c>
      <c r="H174" s="17" t="s">
        <v>9</v>
      </c>
      <c r="I174" s="17" t="s">
        <v>9</v>
      </c>
      <c r="J174" s="16">
        <f>24663/12</f>
        <v>2055.25</v>
      </c>
      <c r="K174" s="16">
        <f>23796/12</f>
        <v>1983</v>
      </c>
      <c r="L174" s="16">
        <f>23390/12</f>
        <v>1949.1666666666667</v>
      </c>
      <c r="M174" s="16">
        <f>24031/12</f>
        <v>2002.5833333333333</v>
      </c>
      <c r="N174" s="16">
        <f>24400/12</f>
        <v>2033.3333333333333</v>
      </c>
      <c r="O174" s="16">
        <f>24359/12</f>
        <v>2029.9166666666667</v>
      </c>
      <c r="P174" s="21">
        <f t="shared" si="68"/>
        <v>2199.2142857142858</v>
      </c>
      <c r="Q174" s="22">
        <v>78.53</v>
      </c>
      <c r="R174" s="19">
        <v>25</v>
      </c>
      <c r="S174" s="16">
        <v>47</v>
      </c>
      <c r="T174" s="18"/>
      <c r="U174" s="11"/>
      <c r="V174" s="11"/>
      <c r="W174" s="9"/>
      <c r="X174" s="10"/>
    </row>
    <row r="175" spans="1:24" s="3" customFormat="1" ht="12.75" customHeight="1" x14ac:dyDescent="0.25">
      <c r="A175" s="41"/>
      <c r="B175" s="41"/>
      <c r="C175" s="41"/>
      <c r="D175" s="41"/>
      <c r="E175" s="5">
        <v>2014</v>
      </c>
      <c r="F175" s="16">
        <f>40200/12</f>
        <v>3350</v>
      </c>
      <c r="G175" s="17" t="s">
        <v>9</v>
      </c>
      <c r="H175" s="17" t="s">
        <v>9</v>
      </c>
      <c r="I175" s="17" t="s">
        <v>9</v>
      </c>
      <c r="J175" s="16">
        <f>27556/12</f>
        <v>2296.3333333333335</v>
      </c>
      <c r="K175" s="16">
        <f>27310/12</f>
        <v>2275.8333333333335</v>
      </c>
      <c r="L175" s="16">
        <f>26957/12</f>
        <v>2246.4166666666665</v>
      </c>
      <c r="M175" s="16">
        <f>27589/12</f>
        <v>2299.0833333333335</v>
      </c>
      <c r="N175" s="16">
        <f>26852/12</f>
        <v>2237.6666666666665</v>
      </c>
      <c r="O175" s="16">
        <f>26800/12</f>
        <v>2233.3333333333335</v>
      </c>
      <c r="P175" s="21">
        <f t="shared" si="68"/>
        <v>2419.8095238095239</v>
      </c>
      <c r="Q175" s="22">
        <v>79.58</v>
      </c>
      <c r="R175" s="19">
        <v>25</v>
      </c>
      <c r="S175" s="16">
        <v>51</v>
      </c>
      <c r="T175" s="18" t="e">
        <f>#REF!/S299/6</f>
        <v>#REF!</v>
      </c>
      <c r="U175" s="11" t="e">
        <f>100-#REF!</f>
        <v>#REF!</v>
      </c>
      <c r="V175" s="11" t="e">
        <f t="shared" ref="V175:V177" si="74">U175*6</f>
        <v>#REF!</v>
      </c>
      <c r="W175" s="9"/>
      <c r="X175" s="10" t="e">
        <f>#REF!+U175</f>
        <v>#REF!</v>
      </c>
    </row>
    <row r="176" spans="1:24" s="3" customFormat="1" ht="11.25" x14ac:dyDescent="0.25">
      <c r="A176" s="41"/>
      <c r="B176" s="41"/>
      <c r="C176" s="41"/>
      <c r="D176" s="41"/>
      <c r="E176" s="5">
        <v>2015</v>
      </c>
      <c r="F176" s="16">
        <f>20745/6</f>
        <v>3457.5</v>
      </c>
      <c r="G176" s="17" t="s">
        <v>9</v>
      </c>
      <c r="H176" s="17" t="s">
        <v>9</v>
      </c>
      <c r="I176" s="17" t="s">
        <v>9</v>
      </c>
      <c r="J176" s="16">
        <f>13318/6</f>
        <v>2219.6666666666665</v>
      </c>
      <c r="K176" s="16">
        <f>13237/6</f>
        <v>2206.1666666666665</v>
      </c>
      <c r="L176" s="16">
        <f>12986/6</f>
        <v>2164.3333333333335</v>
      </c>
      <c r="M176" s="16">
        <f>13290/6</f>
        <v>2215</v>
      </c>
      <c r="N176" s="16">
        <f>13579/6</f>
        <v>2263.1666666666665</v>
      </c>
      <c r="O176" s="16">
        <f>13400/6</f>
        <v>2233.3333333333335</v>
      </c>
      <c r="P176" s="21">
        <f t="shared" si="68"/>
        <v>2394.1666666666665</v>
      </c>
      <c r="Q176" s="22">
        <v>87.48</v>
      </c>
      <c r="R176" s="19">
        <v>25</v>
      </c>
      <c r="S176" s="16">
        <v>49</v>
      </c>
      <c r="T176" s="18" t="e">
        <f>#REF!/S300/6</f>
        <v>#REF!</v>
      </c>
      <c r="U176" s="11" t="e">
        <f>100-#REF!</f>
        <v>#REF!</v>
      </c>
      <c r="V176" s="11" t="e">
        <f t="shared" si="74"/>
        <v>#REF!</v>
      </c>
      <c r="W176" s="9"/>
      <c r="X176" s="10" t="e">
        <f>#REF!+U176</f>
        <v>#REF!</v>
      </c>
    </row>
    <row r="177" spans="1:24" s="3" customFormat="1" ht="12.75" customHeight="1" x14ac:dyDescent="0.25">
      <c r="A177" s="41">
        <v>3</v>
      </c>
      <c r="B177" s="41">
        <v>378</v>
      </c>
      <c r="C177" s="41" t="s">
        <v>82</v>
      </c>
      <c r="D177" s="41" t="s">
        <v>83</v>
      </c>
      <c r="E177" s="5">
        <v>2013</v>
      </c>
      <c r="F177" s="16">
        <f>83429.44/12</f>
        <v>6952.4533333333338</v>
      </c>
      <c r="G177" s="16">
        <f>24892.48/12</f>
        <v>2074.3733333333334</v>
      </c>
      <c r="H177" s="17" t="s">
        <v>9</v>
      </c>
      <c r="I177" s="17" t="s">
        <v>9</v>
      </c>
      <c r="J177" s="16">
        <f>35651.25/12</f>
        <v>2970.9375</v>
      </c>
      <c r="K177" s="16">
        <f>41544.44/12</f>
        <v>3462.0366666666669</v>
      </c>
      <c r="L177" s="16">
        <f>37533.44/12</f>
        <v>3127.7866666666669</v>
      </c>
      <c r="M177" s="16">
        <f>33291.63/12</f>
        <v>2774.3024999999998</v>
      </c>
      <c r="N177" s="16">
        <f>31894.04/12</f>
        <v>2657.8366666666666</v>
      </c>
      <c r="O177" s="16">
        <f>31506.93/12</f>
        <v>2625.5774999999999</v>
      </c>
      <c r="P177" s="21">
        <f t="shared" si="68"/>
        <v>3330.6630208333331</v>
      </c>
      <c r="Q177" s="22">
        <f>731.83/12</f>
        <v>60.985833333333339</v>
      </c>
      <c r="R177" s="19">
        <v>48</v>
      </c>
      <c r="S177" s="16">
        <v>72.98</v>
      </c>
      <c r="T177" s="18" t="e">
        <f>#REF!/S301/6</f>
        <v>#REF!</v>
      </c>
      <c r="U177" s="11" t="e">
        <f>100-#REF!</f>
        <v>#REF!</v>
      </c>
      <c r="V177" s="11" t="e">
        <f t="shared" si="74"/>
        <v>#REF!</v>
      </c>
      <c r="W177" s="9"/>
      <c r="X177" s="10" t="e">
        <f>#REF!+U177</f>
        <v>#REF!</v>
      </c>
    </row>
    <row r="178" spans="1:24" s="3" customFormat="1" ht="12.75" customHeight="1" x14ac:dyDescent="0.25">
      <c r="A178" s="41"/>
      <c r="B178" s="41"/>
      <c r="C178" s="41"/>
      <c r="D178" s="41"/>
      <c r="E178" s="5">
        <v>2014</v>
      </c>
      <c r="F178" s="16">
        <f>75360.42/12</f>
        <v>6280.0349999999999</v>
      </c>
      <c r="G178" s="16">
        <f>23731.31/12</f>
        <v>1977.6091666666669</v>
      </c>
      <c r="H178" s="17" t="s">
        <v>9</v>
      </c>
      <c r="I178" s="17" t="s">
        <v>9</v>
      </c>
      <c r="J178" s="16">
        <f>38233.46/12</f>
        <v>3186.1216666666664</v>
      </c>
      <c r="K178" s="16">
        <f>33970.45/12</f>
        <v>2830.8708333333329</v>
      </c>
      <c r="L178" s="16">
        <f>33030.44/12</f>
        <v>2752.5366666666669</v>
      </c>
      <c r="M178" s="16">
        <f>42269.17/12</f>
        <v>3522.4308333333333</v>
      </c>
      <c r="N178" s="16">
        <f>36199.02/12</f>
        <v>3016.5849999999996</v>
      </c>
      <c r="O178" s="16">
        <f>33544.16/12</f>
        <v>2795.3466666666668</v>
      </c>
      <c r="P178" s="21">
        <f t="shared" si="68"/>
        <v>3295.1919791666664</v>
      </c>
      <c r="Q178" s="22">
        <f>750.04/12</f>
        <v>62.50333333333333</v>
      </c>
      <c r="R178" s="19">
        <v>50</v>
      </c>
      <c r="S178" s="16">
        <v>72.28</v>
      </c>
      <c r="T178" s="18"/>
      <c r="U178" s="11"/>
      <c r="V178" s="11"/>
      <c r="W178" s="9"/>
      <c r="X178" s="10"/>
    </row>
    <row r="179" spans="1:24" s="3" customFormat="1" ht="12.75" customHeight="1" x14ac:dyDescent="0.25">
      <c r="A179" s="41"/>
      <c r="B179" s="41"/>
      <c r="C179" s="41"/>
      <c r="D179" s="41"/>
      <c r="E179" s="5">
        <v>2015</v>
      </c>
      <c r="F179" s="16">
        <f>33633.68/6</f>
        <v>5605.6133333333337</v>
      </c>
      <c r="G179" s="16">
        <f>10642.5/6</f>
        <v>1773.75</v>
      </c>
      <c r="H179" s="17" t="s">
        <v>9</v>
      </c>
      <c r="I179" s="17" t="s">
        <v>9</v>
      </c>
      <c r="J179" s="16">
        <f>17415/6</f>
        <v>2902.5</v>
      </c>
      <c r="K179" s="16">
        <f>14752.05/6</f>
        <v>2458.6749999999997</v>
      </c>
      <c r="L179" s="16">
        <f>15121.77/6</f>
        <v>2520.2950000000001</v>
      </c>
      <c r="M179" s="16">
        <f>13048.25/6</f>
        <v>2174.7083333333335</v>
      </c>
      <c r="N179" s="16">
        <f>14675.7/6</f>
        <v>2445.9500000000003</v>
      </c>
      <c r="O179" s="16">
        <f>19140/6</f>
        <v>3190</v>
      </c>
      <c r="P179" s="21">
        <f t="shared" si="68"/>
        <v>2883.9364583333336</v>
      </c>
      <c r="Q179" s="22">
        <f>316.47/5</f>
        <v>63.294000000000004</v>
      </c>
      <c r="R179" s="19">
        <v>50</v>
      </c>
      <c r="S179" s="16">
        <v>70.23</v>
      </c>
      <c r="T179" s="18" t="e">
        <f>#REF!/S303/6</f>
        <v>#REF!</v>
      </c>
      <c r="U179" s="11" t="e">
        <f>100-#REF!</f>
        <v>#REF!</v>
      </c>
      <c r="V179" s="11" t="e">
        <f t="shared" ref="V179" si="75">U179*6</f>
        <v>#REF!</v>
      </c>
      <c r="W179" s="9"/>
      <c r="X179" s="10" t="e">
        <f>#REF!+U179</f>
        <v>#REF!</v>
      </c>
    </row>
    <row r="180" spans="1:24" s="3" customFormat="1" ht="12.75" customHeight="1" x14ac:dyDescent="0.25">
      <c r="A180" s="36" t="s">
        <v>35</v>
      </c>
      <c r="B180" s="37"/>
      <c r="C180" s="37"/>
      <c r="D180" s="37"/>
      <c r="E180" s="38"/>
      <c r="F180" s="25">
        <f>AVERAGE(F171:F179)</f>
        <v>5031.6404629629633</v>
      </c>
      <c r="G180" s="26" t="s">
        <v>9</v>
      </c>
      <c r="H180" s="26" t="s">
        <v>9</v>
      </c>
      <c r="I180" s="26" t="s">
        <v>9</v>
      </c>
      <c r="J180" s="25">
        <f>AVERAGE(J171:J179)</f>
        <v>2749.5891666666666</v>
      </c>
      <c r="K180" s="25">
        <f t="shared" ref="K180:O180" si="76">AVERAGE(K171:K179)</f>
        <v>2334.0791666666664</v>
      </c>
      <c r="L180" s="25">
        <f t="shared" si="76"/>
        <v>2645.31</v>
      </c>
      <c r="M180" s="25">
        <f t="shared" si="76"/>
        <v>2669.0666666666666</v>
      </c>
      <c r="N180" s="25">
        <f t="shared" si="76"/>
        <v>2621.2320370370371</v>
      </c>
      <c r="O180" s="25">
        <f t="shared" si="76"/>
        <v>2639.4226851851854</v>
      </c>
      <c r="P180" s="26" t="s">
        <v>9</v>
      </c>
      <c r="Q180" s="26" t="s">
        <v>9</v>
      </c>
      <c r="R180" s="27" t="s">
        <v>9</v>
      </c>
      <c r="S180" s="26" t="s">
        <v>9</v>
      </c>
      <c r="T180" s="12"/>
      <c r="U180" s="13"/>
      <c r="V180" s="13"/>
      <c r="W180" s="9"/>
      <c r="X180" s="10"/>
    </row>
    <row r="181" spans="1:24" ht="15.75" customHeight="1" x14ac:dyDescent="0.2">
      <c r="A181" s="42" t="s">
        <v>149</v>
      </c>
      <c r="B181" s="42"/>
      <c r="C181" s="42"/>
      <c r="D181" s="42"/>
      <c r="E181" s="42"/>
      <c r="F181" s="29">
        <f>(F15+F26+F37+F48+F59+F70+F81+F92+F103+F114+F125+F136+F147+F158+F169+F180)/16</f>
        <v>4624.5069444444453</v>
      </c>
      <c r="G181" s="31" t="s">
        <v>9</v>
      </c>
      <c r="H181" s="30" t="s">
        <v>9</v>
      </c>
      <c r="I181" s="30" t="s">
        <v>9</v>
      </c>
      <c r="J181" s="29">
        <f>(J15+J26+J37+J48+J59+J70+J81+J92+J103+J114+J125+J136+J147+J158+J169+J180)/16</f>
        <v>2527.5610358796298</v>
      </c>
      <c r="K181" s="29">
        <f t="shared" ref="K181:M181" si="77">(K15+K26+K37+K48+K59+K70+K81+K92+K103+K114+K125+K136+K147+K158+K169+K180)/16</f>
        <v>2538.3603985821765</v>
      </c>
      <c r="L181" s="29">
        <f t="shared" si="77"/>
        <v>2444.7070891203698</v>
      </c>
      <c r="M181" s="29">
        <f t="shared" si="77"/>
        <v>2459.2836307043654</v>
      </c>
      <c r="N181" s="29">
        <f>(N15+N26+N37+N48+N59+N70+N81+N92+N103+N114+N136+N147+N158+N169+N180)/16</f>
        <v>2337.4627314814811</v>
      </c>
      <c r="O181" s="29">
        <f>(O15+O26+O37+O48+O59+O70+O81+O92+O103+O114+O136+O147+O158+O169+O180)/16</f>
        <v>2503.3624602141208</v>
      </c>
      <c r="P181" s="31" t="s">
        <v>9</v>
      </c>
      <c r="Q181" s="30" t="s">
        <v>9</v>
      </c>
      <c r="R181" s="31" t="s">
        <v>9</v>
      </c>
      <c r="S181" s="31" t="s">
        <v>9</v>
      </c>
    </row>
    <row r="182" spans="1:24" ht="15.75" customHeight="1" x14ac:dyDescent="0.2">
      <c r="A182" s="14"/>
      <c r="B182" s="6"/>
      <c r="C182" s="7"/>
      <c r="D182" s="7"/>
      <c r="E182" s="14"/>
      <c r="F182" s="8"/>
      <c r="G182" s="8"/>
      <c r="H182" s="15"/>
      <c r="I182" s="15"/>
      <c r="J182" s="15"/>
      <c r="K182" s="15"/>
      <c r="L182" s="15"/>
      <c r="M182" s="15"/>
      <c r="N182" s="8"/>
      <c r="O182" s="15"/>
      <c r="P182" s="8"/>
      <c r="Q182" s="15"/>
      <c r="R182" s="8"/>
      <c r="S182" s="8"/>
    </row>
    <row r="183" spans="1:24" ht="15.75" customHeight="1" x14ac:dyDescent="0.2">
      <c r="A183" s="14"/>
      <c r="B183" s="6"/>
      <c r="C183" s="7"/>
      <c r="D183" s="7"/>
      <c r="E183" s="14"/>
      <c r="F183" s="8"/>
      <c r="G183" s="8"/>
      <c r="H183" s="15"/>
      <c r="I183" s="15"/>
      <c r="J183" s="15"/>
      <c r="K183" s="15"/>
      <c r="L183" s="15"/>
      <c r="M183" s="15"/>
      <c r="N183" s="8"/>
      <c r="O183" s="15"/>
      <c r="P183" s="8"/>
      <c r="Q183" s="15"/>
      <c r="R183" s="8"/>
      <c r="S183" s="8"/>
    </row>
    <row r="184" spans="1:24" ht="11.25" x14ac:dyDescent="0.2">
      <c r="A184" s="14"/>
      <c r="B184" s="6"/>
      <c r="C184" s="39" t="s">
        <v>135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24" ht="15.75" customHeight="1" x14ac:dyDescent="0.2">
      <c r="A185" s="14"/>
      <c r="B185" s="6"/>
      <c r="C185" s="40" t="s">
        <v>148</v>
      </c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8"/>
      <c r="S185" s="8"/>
    </row>
    <row r="186" spans="1:24" ht="15.75" customHeight="1" x14ac:dyDescent="0.2">
      <c r="A186" s="14"/>
      <c r="B186" s="6"/>
      <c r="C186" s="7"/>
      <c r="D186" s="7"/>
      <c r="E186" s="14"/>
      <c r="F186" s="8"/>
      <c r="G186" s="8"/>
      <c r="H186" s="15"/>
      <c r="I186" s="15"/>
      <c r="J186" s="15"/>
      <c r="K186" s="15"/>
      <c r="L186" s="15"/>
      <c r="M186" s="15"/>
      <c r="N186" s="8"/>
      <c r="O186" s="15"/>
      <c r="P186" s="8"/>
      <c r="Q186" s="15"/>
      <c r="R186" s="8"/>
      <c r="S186" s="8"/>
    </row>
    <row r="187" spans="1:24" ht="15.75" customHeight="1" x14ac:dyDescent="0.2">
      <c r="A187" s="14"/>
      <c r="B187" s="6"/>
      <c r="C187" s="7"/>
      <c r="D187" s="7"/>
      <c r="E187" s="14"/>
      <c r="F187" s="8"/>
      <c r="G187" s="8"/>
      <c r="H187" s="15"/>
      <c r="I187" s="15"/>
      <c r="J187" s="15"/>
      <c r="K187" s="15"/>
      <c r="L187" s="15"/>
      <c r="M187" s="15"/>
      <c r="N187" s="8"/>
      <c r="O187" s="15"/>
      <c r="P187" s="8"/>
      <c r="Q187" s="15"/>
      <c r="R187" s="8"/>
      <c r="S187" s="8"/>
    </row>
    <row r="188" spans="1:24" ht="15.75" customHeight="1" x14ac:dyDescent="0.2">
      <c r="A188" s="1" t="s">
        <v>150</v>
      </c>
    </row>
  </sheetData>
  <sheetProtection password="DFC8" sheet="1" objects="1" scenarios="1"/>
  <mergeCells count="242">
    <mergeCell ref="U3:U4"/>
    <mergeCell ref="V3:V4"/>
    <mergeCell ref="A5:S5"/>
    <mergeCell ref="A6:A8"/>
    <mergeCell ref="B6:B8"/>
    <mergeCell ref="C6:C8"/>
    <mergeCell ref="D6:D8"/>
    <mergeCell ref="A15:E15"/>
    <mergeCell ref="A2:S2"/>
    <mergeCell ref="A3:A4"/>
    <mergeCell ref="B3:B4"/>
    <mergeCell ref="C3:C4"/>
    <mergeCell ref="D3:D4"/>
    <mergeCell ref="E3:E4"/>
    <mergeCell ref="F3:O3"/>
    <mergeCell ref="P3:P4"/>
    <mergeCell ref="Q3:Q4"/>
    <mergeCell ref="R3:R4"/>
    <mergeCell ref="S3:S4"/>
    <mergeCell ref="A9:A11"/>
    <mergeCell ref="B9:B11"/>
    <mergeCell ref="C9:C11"/>
    <mergeCell ref="D9:D11"/>
    <mergeCell ref="A12:A14"/>
    <mergeCell ref="B12:B14"/>
    <mergeCell ref="C12:C14"/>
    <mergeCell ref="D12:D14"/>
    <mergeCell ref="T3:T4"/>
    <mergeCell ref="A20:A22"/>
    <mergeCell ref="B20:B22"/>
    <mergeCell ref="C20:C22"/>
    <mergeCell ref="D20:D22"/>
    <mergeCell ref="A23:A25"/>
    <mergeCell ref="B23:B25"/>
    <mergeCell ref="C23:C25"/>
    <mergeCell ref="D23:D25"/>
    <mergeCell ref="A16:S16"/>
    <mergeCell ref="A17:A19"/>
    <mergeCell ref="B17:B19"/>
    <mergeCell ref="C17:C19"/>
    <mergeCell ref="D17:D19"/>
    <mergeCell ref="A31:A33"/>
    <mergeCell ref="B31:B33"/>
    <mergeCell ref="C31:C33"/>
    <mergeCell ref="D31:D33"/>
    <mergeCell ref="A34:A36"/>
    <mergeCell ref="B34:B36"/>
    <mergeCell ref="C34:C36"/>
    <mergeCell ref="D34:D36"/>
    <mergeCell ref="A26:E26"/>
    <mergeCell ref="A27:S27"/>
    <mergeCell ref="A28:A30"/>
    <mergeCell ref="B28:B30"/>
    <mergeCell ref="C28:C30"/>
    <mergeCell ref="D28:D30"/>
    <mergeCell ref="A42:A44"/>
    <mergeCell ref="B42:B44"/>
    <mergeCell ref="C42:C44"/>
    <mergeCell ref="D42:D44"/>
    <mergeCell ref="A45:A47"/>
    <mergeCell ref="B45:B47"/>
    <mergeCell ref="C45:C47"/>
    <mergeCell ref="D45:D47"/>
    <mergeCell ref="A37:E37"/>
    <mergeCell ref="A38:S38"/>
    <mergeCell ref="A39:A41"/>
    <mergeCell ref="B39:B41"/>
    <mergeCell ref="C39:C41"/>
    <mergeCell ref="D39:D41"/>
    <mergeCell ref="A53:A55"/>
    <mergeCell ref="B53:B55"/>
    <mergeCell ref="C53:C55"/>
    <mergeCell ref="D53:D55"/>
    <mergeCell ref="A56:A58"/>
    <mergeCell ref="B56:B58"/>
    <mergeCell ref="C56:C58"/>
    <mergeCell ref="D56:D58"/>
    <mergeCell ref="A48:E48"/>
    <mergeCell ref="A49:S49"/>
    <mergeCell ref="A50:A52"/>
    <mergeCell ref="B50:B52"/>
    <mergeCell ref="C50:C52"/>
    <mergeCell ref="D50:D52"/>
    <mergeCell ref="A64:A66"/>
    <mergeCell ref="B64:B66"/>
    <mergeCell ref="C64:C66"/>
    <mergeCell ref="D64:D66"/>
    <mergeCell ref="A67:A69"/>
    <mergeCell ref="B67:B69"/>
    <mergeCell ref="C67:C69"/>
    <mergeCell ref="D67:D69"/>
    <mergeCell ref="A59:E59"/>
    <mergeCell ref="A60:S60"/>
    <mergeCell ref="A61:A63"/>
    <mergeCell ref="B61:B63"/>
    <mergeCell ref="C61:C63"/>
    <mergeCell ref="D61:D63"/>
    <mergeCell ref="A75:A77"/>
    <mergeCell ref="B75:B77"/>
    <mergeCell ref="C75:C77"/>
    <mergeCell ref="D75:D77"/>
    <mergeCell ref="A78:A80"/>
    <mergeCell ref="B78:B80"/>
    <mergeCell ref="C78:C80"/>
    <mergeCell ref="D78:D80"/>
    <mergeCell ref="A70:E70"/>
    <mergeCell ref="A71:S71"/>
    <mergeCell ref="A72:A74"/>
    <mergeCell ref="B72:B74"/>
    <mergeCell ref="C72:C74"/>
    <mergeCell ref="D72:D74"/>
    <mergeCell ref="A86:A88"/>
    <mergeCell ref="B86:B88"/>
    <mergeCell ref="C86:C88"/>
    <mergeCell ref="D86:D88"/>
    <mergeCell ref="A89:A91"/>
    <mergeCell ref="B89:B91"/>
    <mergeCell ref="C89:C91"/>
    <mergeCell ref="D89:D91"/>
    <mergeCell ref="A81:E81"/>
    <mergeCell ref="A82:S82"/>
    <mergeCell ref="A83:A85"/>
    <mergeCell ref="B83:B85"/>
    <mergeCell ref="C83:C85"/>
    <mergeCell ref="D83:D85"/>
    <mergeCell ref="A97:A99"/>
    <mergeCell ref="B97:B99"/>
    <mergeCell ref="C97:C99"/>
    <mergeCell ref="D97:D99"/>
    <mergeCell ref="A100:A102"/>
    <mergeCell ref="B100:B102"/>
    <mergeCell ref="C100:C102"/>
    <mergeCell ref="D100:D102"/>
    <mergeCell ref="A92:E92"/>
    <mergeCell ref="A93:S93"/>
    <mergeCell ref="A94:A96"/>
    <mergeCell ref="B94:B96"/>
    <mergeCell ref="C94:C96"/>
    <mergeCell ref="D94:D96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3:E103"/>
    <mergeCell ref="A104:S104"/>
    <mergeCell ref="A105:A107"/>
    <mergeCell ref="B105:B107"/>
    <mergeCell ref="C105:C107"/>
    <mergeCell ref="D105:D107"/>
    <mergeCell ref="A119:A121"/>
    <mergeCell ref="B119:B121"/>
    <mergeCell ref="C119:C121"/>
    <mergeCell ref="D119:D121"/>
    <mergeCell ref="A122:A124"/>
    <mergeCell ref="B122:B124"/>
    <mergeCell ref="C122:C124"/>
    <mergeCell ref="D122:D124"/>
    <mergeCell ref="A114:E114"/>
    <mergeCell ref="A115:S115"/>
    <mergeCell ref="A116:A118"/>
    <mergeCell ref="B116:B118"/>
    <mergeCell ref="C116:C118"/>
    <mergeCell ref="D116:D118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A125:E125"/>
    <mergeCell ref="A126:S126"/>
    <mergeCell ref="A127:A129"/>
    <mergeCell ref="B127:B129"/>
    <mergeCell ref="C127:C129"/>
    <mergeCell ref="D127:D129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36:E136"/>
    <mergeCell ref="A137:S137"/>
    <mergeCell ref="A138:A140"/>
    <mergeCell ref="B138:B140"/>
    <mergeCell ref="C138:C140"/>
    <mergeCell ref="D138:D140"/>
    <mergeCell ref="A152:A154"/>
    <mergeCell ref="B152:B154"/>
    <mergeCell ref="C152:C154"/>
    <mergeCell ref="D152:D154"/>
    <mergeCell ref="A155:A157"/>
    <mergeCell ref="B155:B157"/>
    <mergeCell ref="C155:C157"/>
    <mergeCell ref="D155:D157"/>
    <mergeCell ref="A147:E147"/>
    <mergeCell ref="A148:S148"/>
    <mergeCell ref="A149:A151"/>
    <mergeCell ref="B149:B151"/>
    <mergeCell ref="C149:C151"/>
    <mergeCell ref="D149:D151"/>
    <mergeCell ref="B166:B168"/>
    <mergeCell ref="C166:C168"/>
    <mergeCell ref="D166:D168"/>
    <mergeCell ref="A158:E158"/>
    <mergeCell ref="A159:S159"/>
    <mergeCell ref="A160:A162"/>
    <mergeCell ref="B160:B162"/>
    <mergeCell ref="C160:C162"/>
    <mergeCell ref="D160:D162"/>
    <mergeCell ref="N1:U1"/>
    <mergeCell ref="A180:E180"/>
    <mergeCell ref="C184:S184"/>
    <mergeCell ref="C185:Q185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A181:E181"/>
    <mergeCell ref="A169:E169"/>
    <mergeCell ref="A170:S170"/>
    <mergeCell ref="A171:A173"/>
    <mergeCell ref="B171:B173"/>
    <mergeCell ref="C171:C173"/>
    <mergeCell ref="D171:D173"/>
    <mergeCell ref="A163:A165"/>
    <mergeCell ref="B163:B165"/>
    <mergeCell ref="C163:C165"/>
    <mergeCell ref="D163:D165"/>
    <mergeCell ref="A166:A168"/>
  </mergeCells>
  <pageMargins left="0.27559055118110237" right="0.39370078740157483" top="0.74803149606299213" bottom="0.74803149606299213" header="0.31496062992125984" footer="0.31496062992125984"/>
  <pageSetup paperSize="9" scale="82" fitToHeight="0" orientation="landscape" r:id="rId1"/>
  <headerFooter>
    <oddFooter>Strona &amp;P z &amp;N</oddFooter>
  </headerFooter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analiza_wtz 09.10</vt:lpstr>
      <vt:lpstr>'analiza_wtz 09.10'!Tytuły_wydruku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Michał G</cp:lastModifiedBy>
  <cp:lastPrinted>2015-10-09T09:57:34Z</cp:lastPrinted>
  <dcterms:created xsi:type="dcterms:W3CDTF">2015-07-27T08:46:14Z</dcterms:created>
  <dcterms:modified xsi:type="dcterms:W3CDTF">2016-05-24T07:31:09Z</dcterms:modified>
</cp:coreProperties>
</file>